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60"/>
  </bookViews>
  <sheets>
    <sheet name="520E11E8-81BB-4841-6A8A-76509EB" sheetId="1" r:id="rId1"/>
  </sheets>
  <definedNames>
    <definedName name="_xlnm._FilterDatabase" localSheetId="0" hidden="1">'520E11E8-81BB-4841-6A8A-76509EB'!$A$11:$BN$2493</definedName>
  </definedNames>
  <calcPr calcId="125725"/>
</workbook>
</file>

<file path=xl/calcChain.xml><?xml version="1.0" encoding="utf-8"?>
<calcChain xmlns="http://schemas.openxmlformats.org/spreadsheetml/2006/main">
  <c r="AB2496" i="1"/>
  <c r="AB2494"/>
  <c r="Z2494"/>
  <c r="H12"/>
  <c r="I12"/>
  <c r="K12"/>
  <c r="N12"/>
  <c r="W12"/>
  <c r="H13"/>
  <c r="I13"/>
  <c r="K13"/>
  <c r="N13"/>
  <c r="W13"/>
  <c r="H14"/>
  <c r="I14"/>
  <c r="K14"/>
  <c r="N14"/>
  <c r="W14"/>
  <c r="H15"/>
  <c r="I15"/>
  <c r="K15"/>
  <c r="N15"/>
  <c r="W15"/>
  <c r="H16"/>
  <c r="I16"/>
  <c r="K16"/>
  <c r="N16"/>
  <c r="W16"/>
  <c r="H17"/>
  <c r="I17"/>
  <c r="K17"/>
  <c r="N17"/>
  <c r="W17"/>
  <c r="H18"/>
  <c r="I18"/>
  <c r="K18"/>
  <c r="N18"/>
  <c r="W18"/>
  <c r="H19"/>
  <c r="I19"/>
  <c r="K19"/>
  <c r="N19"/>
  <c r="W19"/>
  <c r="H20"/>
  <c r="I20"/>
  <c r="K20"/>
  <c r="N20"/>
  <c r="W20"/>
  <c r="H21"/>
  <c r="I21"/>
  <c r="K21"/>
  <c r="N21"/>
  <c r="W21"/>
  <c r="H22"/>
  <c r="I22"/>
  <c r="K22"/>
  <c r="N22"/>
  <c r="W22"/>
  <c r="H23"/>
  <c r="I23"/>
  <c r="K23"/>
  <c r="N23"/>
  <c r="W23"/>
  <c r="H24"/>
  <c r="I24"/>
  <c r="K24"/>
  <c r="N24"/>
  <c r="W24"/>
  <c r="H25"/>
  <c r="I25"/>
  <c r="K25"/>
  <c r="N25"/>
  <c r="W25"/>
  <c r="H26"/>
  <c r="I26"/>
  <c r="K26"/>
  <c r="N26"/>
  <c r="W26"/>
  <c r="H27"/>
  <c r="I27"/>
  <c r="K27"/>
  <c r="N27"/>
  <c r="W27"/>
  <c r="H28"/>
  <c r="I28"/>
  <c r="K28"/>
  <c r="N28"/>
  <c r="W28"/>
  <c r="H29"/>
  <c r="I29"/>
  <c r="K29"/>
  <c r="N29"/>
  <c r="W29"/>
  <c r="H30"/>
  <c r="I30"/>
  <c r="K30"/>
  <c r="N30"/>
  <c r="W30"/>
  <c r="H31"/>
  <c r="I31"/>
  <c r="K31"/>
  <c r="N31"/>
  <c r="W31"/>
  <c r="H32"/>
  <c r="I32"/>
  <c r="K32"/>
  <c r="N32"/>
  <c r="W32"/>
  <c r="H33"/>
  <c r="I33"/>
  <c r="K33"/>
  <c r="N33"/>
  <c r="W33"/>
  <c r="H34"/>
  <c r="I34"/>
  <c r="K34"/>
  <c r="N34"/>
  <c r="W34"/>
  <c r="H35"/>
  <c r="I35"/>
  <c r="K35"/>
  <c r="N35"/>
  <c r="W35"/>
  <c r="H36"/>
  <c r="I36"/>
  <c r="K36"/>
  <c r="N36"/>
  <c r="W36"/>
  <c r="H37"/>
  <c r="I37"/>
  <c r="K37"/>
  <c r="N37"/>
  <c r="W37"/>
  <c r="H38"/>
  <c r="I38"/>
  <c r="K38"/>
  <c r="N38"/>
  <c r="W38"/>
  <c r="H39"/>
  <c r="I39"/>
  <c r="K39"/>
  <c r="N39"/>
  <c r="W39"/>
  <c r="H40"/>
  <c r="I40"/>
  <c r="K40"/>
  <c r="N40"/>
  <c r="W40"/>
  <c r="H41"/>
  <c r="I41"/>
  <c r="K41"/>
  <c r="N41"/>
  <c r="W41"/>
  <c r="H42"/>
  <c r="I42"/>
  <c r="K42"/>
  <c r="N42"/>
  <c r="W42"/>
  <c r="H43"/>
  <c r="I43"/>
  <c r="K43"/>
  <c r="N43"/>
  <c r="W43"/>
  <c r="H44"/>
  <c r="I44"/>
  <c r="K44"/>
  <c r="N44"/>
  <c r="W44"/>
  <c r="H45"/>
  <c r="I45"/>
  <c r="K45"/>
  <c r="N45"/>
  <c r="W45"/>
  <c r="H46"/>
  <c r="I46"/>
  <c r="K46"/>
  <c r="N46"/>
  <c r="W46"/>
  <c r="H47"/>
  <c r="I47"/>
  <c r="K47"/>
  <c r="N47"/>
  <c r="W47"/>
  <c r="H48"/>
  <c r="I48"/>
  <c r="K48"/>
  <c r="N48"/>
  <c r="W48"/>
  <c r="H49"/>
  <c r="I49"/>
  <c r="K49"/>
  <c r="N49"/>
  <c r="W49"/>
  <c r="H50"/>
  <c r="I50"/>
  <c r="K50"/>
  <c r="N50"/>
  <c r="W50"/>
  <c r="H51"/>
  <c r="I51"/>
  <c r="K51"/>
  <c r="N51"/>
  <c r="W51"/>
  <c r="H52"/>
  <c r="I52"/>
  <c r="K52"/>
  <c r="N52"/>
  <c r="W52"/>
  <c r="H53"/>
  <c r="I53"/>
  <c r="K53"/>
  <c r="N53"/>
  <c r="W53"/>
  <c r="H54"/>
  <c r="I54"/>
  <c r="K54"/>
  <c r="N54"/>
  <c r="W54"/>
  <c r="H55"/>
  <c r="I55"/>
  <c r="K55"/>
  <c r="N55"/>
  <c r="W55"/>
  <c r="H56"/>
  <c r="I56"/>
  <c r="K56"/>
  <c r="N56"/>
  <c r="W56"/>
  <c r="H57"/>
  <c r="I57"/>
  <c r="K57"/>
  <c r="N57"/>
  <c r="W57"/>
  <c r="H58"/>
  <c r="I58"/>
  <c r="K58"/>
  <c r="N58"/>
  <c r="W58"/>
  <c r="H59"/>
  <c r="I59"/>
  <c r="K59"/>
  <c r="N59"/>
  <c r="W59"/>
  <c r="H60"/>
  <c r="I60"/>
  <c r="K60"/>
  <c r="N60"/>
  <c r="W60"/>
  <c r="H61"/>
  <c r="I61"/>
  <c r="K61"/>
  <c r="N61"/>
  <c r="W61"/>
  <c r="H62"/>
  <c r="I62"/>
  <c r="K62"/>
  <c r="N62"/>
  <c r="W62"/>
  <c r="H63"/>
  <c r="I63"/>
  <c r="K63"/>
  <c r="N63"/>
  <c r="W63"/>
  <c r="H64"/>
  <c r="I64"/>
  <c r="K64"/>
  <c r="N64"/>
  <c r="W64"/>
  <c r="H65"/>
  <c r="I65"/>
  <c r="K65"/>
  <c r="N65"/>
  <c r="W65"/>
  <c r="H66"/>
  <c r="I66"/>
  <c r="K66"/>
  <c r="N66"/>
  <c r="W66"/>
  <c r="H67"/>
  <c r="I67"/>
  <c r="K67"/>
  <c r="N67"/>
  <c r="W67"/>
  <c r="H68"/>
  <c r="I68"/>
  <c r="K68"/>
  <c r="N68"/>
  <c r="W68"/>
  <c r="H69"/>
  <c r="I69"/>
  <c r="K69"/>
  <c r="N69"/>
  <c r="W69"/>
  <c r="H70"/>
  <c r="I70"/>
  <c r="K70"/>
  <c r="N70"/>
  <c r="W70"/>
  <c r="H71"/>
  <c r="I71"/>
  <c r="K71"/>
  <c r="N71"/>
  <c r="W71"/>
  <c r="H72"/>
  <c r="I72"/>
  <c r="K72"/>
  <c r="N72"/>
  <c r="W72"/>
  <c r="H73"/>
  <c r="I73"/>
  <c r="K73"/>
  <c r="N73"/>
  <c r="W73"/>
  <c r="H74"/>
  <c r="I74"/>
  <c r="K74"/>
  <c r="N74"/>
  <c r="W74"/>
  <c r="H75"/>
  <c r="I75"/>
  <c r="K75"/>
  <c r="N75"/>
  <c r="W75"/>
  <c r="H76"/>
  <c r="I76"/>
  <c r="K76"/>
  <c r="N76"/>
  <c r="W76"/>
  <c r="H77"/>
  <c r="I77"/>
  <c r="K77"/>
  <c r="N77"/>
  <c r="W77"/>
  <c r="H78"/>
  <c r="I78"/>
  <c r="K78"/>
  <c r="N78"/>
  <c r="W78"/>
  <c r="H79"/>
  <c r="I79"/>
  <c r="K79"/>
  <c r="N79"/>
  <c r="W79"/>
  <c r="H80"/>
  <c r="I80"/>
  <c r="K80"/>
  <c r="N80"/>
  <c r="W80"/>
  <c r="H81"/>
  <c r="I81"/>
  <c r="K81"/>
  <c r="N81"/>
  <c r="W81"/>
  <c r="H82"/>
  <c r="I82"/>
  <c r="K82"/>
  <c r="N82"/>
  <c r="W82"/>
  <c r="H83"/>
  <c r="I83"/>
  <c r="K83"/>
  <c r="N83"/>
  <c r="W83"/>
  <c r="H84"/>
  <c r="I84"/>
  <c r="K84"/>
  <c r="N84"/>
  <c r="W84"/>
  <c r="H85"/>
  <c r="I85"/>
  <c r="K85"/>
  <c r="N85"/>
  <c r="W85"/>
  <c r="H86"/>
  <c r="I86"/>
  <c r="K86"/>
  <c r="N86"/>
  <c r="W86"/>
  <c r="H87"/>
  <c r="I87"/>
  <c r="K87"/>
  <c r="N87"/>
  <c r="W87"/>
  <c r="H88"/>
  <c r="I88"/>
  <c r="K88"/>
  <c r="N88"/>
  <c r="W88"/>
  <c r="H89"/>
  <c r="I89"/>
  <c r="K89"/>
  <c r="N89"/>
  <c r="W89"/>
  <c r="H90"/>
  <c r="I90"/>
  <c r="K90"/>
  <c r="N90"/>
  <c r="W90"/>
  <c r="H91"/>
  <c r="I91"/>
  <c r="K91"/>
  <c r="N91"/>
  <c r="W91"/>
  <c r="H92"/>
  <c r="I92"/>
  <c r="K92"/>
  <c r="N92"/>
  <c r="W92"/>
  <c r="H93"/>
  <c r="I93"/>
  <c r="K93"/>
  <c r="N93"/>
  <c r="W93"/>
  <c r="H94"/>
  <c r="I94"/>
  <c r="K94"/>
  <c r="N94"/>
  <c r="W94"/>
  <c r="H95"/>
  <c r="I95"/>
  <c r="K95"/>
  <c r="N95"/>
  <c r="W95"/>
  <c r="H96"/>
  <c r="I96"/>
  <c r="K96"/>
  <c r="N96"/>
  <c r="W96"/>
  <c r="H97"/>
  <c r="I97"/>
  <c r="K97"/>
  <c r="N97"/>
  <c r="W97"/>
  <c r="H98"/>
  <c r="I98"/>
  <c r="K98"/>
  <c r="N98"/>
  <c r="W98"/>
  <c r="H99"/>
  <c r="I99"/>
  <c r="K99"/>
  <c r="N99"/>
  <c r="W99"/>
  <c r="H100"/>
  <c r="I100"/>
  <c r="K100"/>
  <c r="N100"/>
  <c r="W100"/>
  <c r="H101"/>
  <c r="I101"/>
  <c r="K101"/>
  <c r="N101"/>
  <c r="W101"/>
  <c r="H102"/>
  <c r="I102"/>
  <c r="K102"/>
  <c r="N102"/>
  <c r="W102"/>
  <c r="H103"/>
  <c r="I103"/>
  <c r="K103"/>
  <c r="N103"/>
  <c r="W103"/>
  <c r="H104"/>
  <c r="I104"/>
  <c r="K104"/>
  <c r="N104"/>
  <c r="W104"/>
  <c r="H105"/>
  <c r="I105"/>
  <c r="K105"/>
  <c r="N105"/>
  <c r="W105"/>
  <c r="H106"/>
  <c r="I106"/>
  <c r="K106"/>
  <c r="N106"/>
  <c r="W106"/>
  <c r="H107"/>
  <c r="I107"/>
  <c r="K107"/>
  <c r="N107"/>
  <c r="W107"/>
  <c r="H108"/>
  <c r="I108"/>
  <c r="K108"/>
  <c r="N108"/>
  <c r="W108"/>
  <c r="H109"/>
  <c r="I109"/>
  <c r="K109"/>
  <c r="N109"/>
  <c r="W109"/>
  <c r="H110"/>
  <c r="I110"/>
  <c r="K110"/>
  <c r="N110"/>
  <c r="W110"/>
  <c r="H111"/>
  <c r="I111"/>
  <c r="K111"/>
  <c r="N111"/>
  <c r="W111"/>
  <c r="H112"/>
  <c r="I112"/>
  <c r="K112"/>
  <c r="N112"/>
  <c r="W112"/>
  <c r="H113"/>
  <c r="I113"/>
  <c r="K113"/>
  <c r="N113"/>
  <c r="W113"/>
  <c r="H114"/>
  <c r="I114"/>
  <c r="K114"/>
  <c r="N114"/>
  <c r="W114"/>
  <c r="H115"/>
  <c r="I115"/>
  <c r="K115"/>
  <c r="N115"/>
  <c r="W115"/>
  <c r="H116"/>
  <c r="I116"/>
  <c r="K116"/>
  <c r="N116"/>
  <c r="W116"/>
  <c r="H117"/>
  <c r="I117"/>
  <c r="K117"/>
  <c r="N117"/>
  <c r="W117"/>
  <c r="H118"/>
  <c r="I118"/>
  <c r="K118"/>
  <c r="N118"/>
  <c r="W118"/>
  <c r="H119"/>
  <c r="I119"/>
  <c r="K119"/>
  <c r="N119"/>
  <c r="W119"/>
  <c r="H120"/>
  <c r="I120"/>
  <c r="K120"/>
  <c r="N120"/>
  <c r="W120"/>
  <c r="H121"/>
  <c r="I121"/>
  <c r="K121"/>
  <c r="N121"/>
  <c r="W121"/>
  <c r="H122"/>
  <c r="I122"/>
  <c r="K122"/>
  <c r="N122"/>
  <c r="W122"/>
  <c r="H123"/>
  <c r="I123"/>
  <c r="K123"/>
  <c r="N123"/>
  <c r="W123"/>
  <c r="H124"/>
  <c r="I124"/>
  <c r="K124"/>
  <c r="N124"/>
  <c r="W124"/>
  <c r="H125"/>
  <c r="I125"/>
  <c r="K125"/>
  <c r="N125"/>
  <c r="W125"/>
  <c r="H126"/>
  <c r="I126"/>
  <c r="K126"/>
  <c r="N126"/>
  <c r="W126"/>
  <c r="H127"/>
  <c r="I127"/>
  <c r="K127"/>
  <c r="N127"/>
  <c r="W127"/>
  <c r="H128"/>
  <c r="I128"/>
  <c r="K128"/>
  <c r="N128"/>
  <c r="W128"/>
  <c r="H129"/>
  <c r="I129"/>
  <c r="K129"/>
  <c r="N129"/>
  <c r="W129"/>
  <c r="H130"/>
  <c r="I130"/>
  <c r="K130"/>
  <c r="N130"/>
  <c r="W130"/>
  <c r="H131"/>
  <c r="I131"/>
  <c r="K131"/>
  <c r="N131"/>
  <c r="W131"/>
  <c r="H132"/>
  <c r="I132"/>
  <c r="K132"/>
  <c r="N132"/>
  <c r="W132"/>
  <c r="H133"/>
  <c r="I133"/>
  <c r="K133"/>
  <c r="N133"/>
  <c r="W133"/>
  <c r="H134"/>
  <c r="I134"/>
  <c r="K134"/>
  <c r="N134"/>
  <c r="W134"/>
  <c r="H135"/>
  <c r="I135"/>
  <c r="K135"/>
  <c r="N135"/>
  <c r="W135"/>
  <c r="H136"/>
  <c r="I136"/>
  <c r="K136"/>
  <c r="N136"/>
  <c r="W136"/>
  <c r="H137"/>
  <c r="I137"/>
  <c r="K137"/>
  <c r="N137"/>
  <c r="W137"/>
  <c r="H138"/>
  <c r="I138"/>
  <c r="K138"/>
  <c r="N138"/>
  <c r="W138"/>
  <c r="H139"/>
  <c r="I139"/>
  <c r="K139"/>
  <c r="N139"/>
  <c r="W139"/>
  <c r="H140"/>
  <c r="I140"/>
  <c r="K140"/>
  <c r="N140"/>
  <c r="W140"/>
  <c r="H141"/>
  <c r="I141"/>
  <c r="K141"/>
  <c r="N141"/>
  <c r="W141"/>
  <c r="H142"/>
  <c r="I142"/>
  <c r="K142"/>
  <c r="N142"/>
  <c r="W142"/>
  <c r="H143"/>
  <c r="I143"/>
  <c r="K143"/>
  <c r="N143"/>
  <c r="W143"/>
  <c r="H144"/>
  <c r="I144"/>
  <c r="K144"/>
  <c r="N144"/>
  <c r="W144"/>
  <c r="H145"/>
  <c r="I145"/>
  <c r="K145"/>
  <c r="N145"/>
  <c r="W145"/>
  <c r="H146"/>
  <c r="I146"/>
  <c r="K146"/>
  <c r="N146"/>
  <c r="W146"/>
  <c r="H147"/>
  <c r="I147"/>
  <c r="K147"/>
  <c r="N147"/>
  <c r="W147"/>
  <c r="H148"/>
  <c r="I148"/>
  <c r="K148"/>
  <c r="N148"/>
  <c r="W148"/>
  <c r="H149"/>
  <c r="I149"/>
  <c r="K149"/>
  <c r="N149"/>
  <c r="W149"/>
  <c r="H150"/>
  <c r="I150"/>
  <c r="K150"/>
  <c r="N150"/>
  <c r="W150"/>
  <c r="H151"/>
  <c r="I151"/>
  <c r="K151"/>
  <c r="N151"/>
  <c r="W151"/>
  <c r="H152"/>
  <c r="I152"/>
  <c r="K152"/>
  <c r="N152"/>
  <c r="W152"/>
  <c r="H153"/>
  <c r="I153"/>
  <c r="K153"/>
  <c r="N153"/>
  <c r="W153"/>
  <c r="H154"/>
  <c r="I154"/>
  <c r="K154"/>
  <c r="N154"/>
  <c r="W154"/>
  <c r="H155"/>
  <c r="I155"/>
  <c r="K155"/>
  <c r="N155"/>
  <c r="W155"/>
  <c r="H156"/>
  <c r="I156"/>
  <c r="K156"/>
  <c r="N156"/>
  <c r="W156"/>
  <c r="H157"/>
  <c r="I157"/>
  <c r="K157"/>
  <c r="N157"/>
  <c r="W157"/>
  <c r="H158"/>
  <c r="I158"/>
  <c r="K158"/>
  <c r="N158"/>
  <c r="W158"/>
  <c r="H159"/>
  <c r="I159"/>
  <c r="K159"/>
  <c r="N159"/>
  <c r="W159"/>
  <c r="H160"/>
  <c r="I160"/>
  <c r="K160"/>
  <c r="N160"/>
  <c r="W160"/>
  <c r="H161"/>
  <c r="I161"/>
  <c r="K161"/>
  <c r="N161"/>
  <c r="W161"/>
  <c r="H162"/>
  <c r="I162"/>
  <c r="K162"/>
  <c r="N162"/>
  <c r="W162"/>
  <c r="H163"/>
  <c r="I163"/>
  <c r="K163"/>
  <c r="N163"/>
  <c r="W163"/>
  <c r="H164"/>
  <c r="I164"/>
  <c r="K164"/>
  <c r="N164"/>
  <c r="W164"/>
  <c r="H165"/>
  <c r="I165"/>
  <c r="K165"/>
  <c r="N165"/>
  <c r="W165"/>
  <c r="H166"/>
  <c r="I166"/>
  <c r="K166"/>
  <c r="N166"/>
  <c r="W166"/>
  <c r="H167"/>
  <c r="I167"/>
  <c r="K167"/>
  <c r="N167"/>
  <c r="W167"/>
  <c r="H168"/>
  <c r="I168"/>
  <c r="K168"/>
  <c r="N168"/>
  <c r="W168"/>
  <c r="H169"/>
  <c r="I169"/>
  <c r="K169"/>
  <c r="N169"/>
  <c r="W169"/>
  <c r="H170"/>
  <c r="I170"/>
  <c r="K170"/>
  <c r="N170"/>
  <c r="W170"/>
  <c r="H171"/>
  <c r="I171"/>
  <c r="K171"/>
  <c r="N171"/>
  <c r="W171"/>
  <c r="H172"/>
  <c r="I172"/>
  <c r="K172"/>
  <c r="N172"/>
  <c r="W172"/>
  <c r="H173"/>
  <c r="I173"/>
  <c r="K173"/>
  <c r="N173"/>
  <c r="W173"/>
  <c r="H174"/>
  <c r="I174"/>
  <c r="K174"/>
  <c r="N174"/>
  <c r="W174"/>
  <c r="H175"/>
  <c r="I175"/>
  <c r="K175"/>
  <c r="N175"/>
  <c r="W175"/>
  <c r="H176"/>
  <c r="I176"/>
  <c r="K176"/>
  <c r="N176"/>
  <c r="W176"/>
  <c r="H177"/>
  <c r="I177"/>
  <c r="K177"/>
  <c r="N177"/>
  <c r="W177"/>
  <c r="H178"/>
  <c r="I178"/>
  <c r="K178"/>
  <c r="N178"/>
  <c r="W178"/>
  <c r="H179"/>
  <c r="I179"/>
  <c r="K179"/>
  <c r="N179"/>
  <c r="W179"/>
  <c r="H180"/>
  <c r="I180"/>
  <c r="K180"/>
  <c r="N180"/>
  <c r="W180"/>
  <c r="H181"/>
  <c r="I181"/>
  <c r="K181"/>
  <c r="N181"/>
  <c r="W181"/>
  <c r="H182"/>
  <c r="I182"/>
  <c r="K182"/>
  <c r="N182"/>
  <c r="W182"/>
  <c r="H183"/>
  <c r="I183"/>
  <c r="K183"/>
  <c r="N183"/>
  <c r="W183"/>
  <c r="H184"/>
  <c r="I184"/>
  <c r="K184"/>
  <c r="N184"/>
  <c r="W184"/>
  <c r="H185"/>
  <c r="I185"/>
  <c r="K185"/>
  <c r="N185"/>
  <c r="W185"/>
  <c r="H186"/>
  <c r="I186"/>
  <c r="K186"/>
  <c r="N186"/>
  <c r="W186"/>
  <c r="H187"/>
  <c r="I187"/>
  <c r="K187"/>
  <c r="N187"/>
  <c r="W187"/>
  <c r="H188"/>
  <c r="I188"/>
  <c r="K188"/>
  <c r="N188"/>
  <c r="W188"/>
  <c r="H189"/>
  <c r="I189"/>
  <c r="K189"/>
  <c r="N189"/>
  <c r="W189"/>
  <c r="H190"/>
  <c r="I190"/>
  <c r="K190"/>
  <c r="N190"/>
  <c r="W190"/>
  <c r="H191"/>
  <c r="I191"/>
  <c r="K191"/>
  <c r="N191"/>
  <c r="W191"/>
  <c r="H192"/>
  <c r="I192"/>
  <c r="K192"/>
  <c r="N192"/>
  <c r="W192"/>
  <c r="H193"/>
  <c r="I193"/>
  <c r="K193"/>
  <c r="N193"/>
  <c r="W193"/>
  <c r="H194"/>
  <c r="I194"/>
  <c r="K194"/>
  <c r="N194"/>
  <c r="W194"/>
  <c r="H195"/>
  <c r="I195"/>
  <c r="K195"/>
  <c r="N195"/>
  <c r="W195"/>
  <c r="H196"/>
  <c r="I196"/>
  <c r="K196"/>
  <c r="N196"/>
  <c r="W196"/>
  <c r="H197"/>
  <c r="I197"/>
  <c r="K197"/>
  <c r="N197"/>
  <c r="W197"/>
  <c r="H198"/>
  <c r="I198"/>
  <c r="K198"/>
  <c r="N198"/>
  <c r="W198"/>
  <c r="H199"/>
  <c r="I199"/>
  <c r="K199"/>
  <c r="N199"/>
  <c r="W199"/>
  <c r="H200"/>
  <c r="I200"/>
  <c r="K200"/>
  <c r="N200"/>
  <c r="W200"/>
  <c r="H201"/>
  <c r="I201"/>
  <c r="K201"/>
  <c r="N201"/>
  <c r="W201"/>
  <c r="H202"/>
  <c r="I202"/>
  <c r="K202"/>
  <c r="N202"/>
  <c r="W202"/>
  <c r="H203"/>
  <c r="I203"/>
  <c r="K203"/>
  <c r="N203"/>
  <c r="W203"/>
  <c r="H204"/>
  <c r="I204"/>
  <c r="K204"/>
  <c r="N204"/>
  <c r="W204"/>
  <c r="H205"/>
  <c r="I205"/>
  <c r="K205"/>
  <c r="N205"/>
  <c r="W205"/>
  <c r="H206"/>
  <c r="I206"/>
  <c r="K206"/>
  <c r="N206"/>
  <c r="W206"/>
  <c r="H207"/>
  <c r="I207"/>
  <c r="K207"/>
  <c r="N207"/>
  <c r="W207"/>
  <c r="H208"/>
  <c r="I208"/>
  <c r="K208"/>
  <c r="N208"/>
  <c r="W208"/>
  <c r="H209"/>
  <c r="I209"/>
  <c r="K209"/>
  <c r="N209"/>
  <c r="W209"/>
  <c r="H210"/>
  <c r="I210"/>
  <c r="K210"/>
  <c r="N210"/>
  <c r="W210"/>
  <c r="H211"/>
  <c r="I211"/>
  <c r="K211"/>
  <c r="N211"/>
  <c r="W211"/>
  <c r="H212"/>
  <c r="I212"/>
  <c r="K212"/>
  <c r="N212"/>
  <c r="W212"/>
  <c r="H213"/>
  <c r="I213"/>
  <c r="K213"/>
  <c r="N213"/>
  <c r="W213"/>
  <c r="H214"/>
  <c r="I214"/>
  <c r="K214"/>
  <c r="N214"/>
  <c r="W214"/>
  <c r="H215"/>
  <c r="I215"/>
  <c r="K215"/>
  <c r="N215"/>
  <c r="W215"/>
  <c r="H216"/>
  <c r="I216"/>
  <c r="K216"/>
  <c r="N216"/>
  <c r="W216"/>
  <c r="H217"/>
  <c r="I217"/>
  <c r="K217"/>
  <c r="N217"/>
  <c r="W217"/>
  <c r="H218"/>
  <c r="I218"/>
  <c r="K218"/>
  <c r="N218"/>
  <c r="W218"/>
  <c r="H219"/>
  <c r="I219"/>
  <c r="K219"/>
  <c r="N219"/>
  <c r="W219"/>
  <c r="H220"/>
  <c r="I220"/>
  <c r="K220"/>
  <c r="N220"/>
  <c r="W220"/>
  <c r="H221"/>
  <c r="I221"/>
  <c r="K221"/>
  <c r="N221"/>
  <c r="W221"/>
  <c r="H222"/>
  <c r="I222"/>
  <c r="K222"/>
  <c r="N222"/>
  <c r="W222"/>
  <c r="H223"/>
  <c r="I223"/>
  <c r="K223"/>
  <c r="N223"/>
  <c r="W223"/>
  <c r="H224"/>
  <c r="I224"/>
  <c r="K224"/>
  <c r="N224"/>
  <c r="W224"/>
  <c r="H225"/>
  <c r="I225"/>
  <c r="K225"/>
  <c r="N225"/>
  <c r="W225"/>
  <c r="H226"/>
  <c r="I226"/>
  <c r="K226"/>
  <c r="N226"/>
  <c r="W226"/>
  <c r="H227"/>
  <c r="I227"/>
  <c r="K227"/>
  <c r="N227"/>
  <c r="W227"/>
  <c r="H228"/>
  <c r="I228"/>
  <c r="K228"/>
  <c r="N228"/>
  <c r="W228"/>
  <c r="H229"/>
  <c r="I229"/>
  <c r="K229"/>
  <c r="N229"/>
  <c r="W229"/>
  <c r="H230"/>
  <c r="I230"/>
  <c r="K230"/>
  <c r="N230"/>
  <c r="W230"/>
  <c r="H231"/>
  <c r="I231"/>
  <c r="K231"/>
  <c r="N231"/>
  <c r="W231"/>
  <c r="H232"/>
  <c r="I232"/>
  <c r="K232"/>
  <c r="N232"/>
  <c r="W232"/>
  <c r="H233"/>
  <c r="I233"/>
  <c r="K233"/>
  <c r="N233"/>
  <c r="W233"/>
  <c r="H234"/>
  <c r="I234"/>
  <c r="K234"/>
  <c r="N234"/>
  <c r="W234"/>
  <c r="H235"/>
  <c r="I235"/>
  <c r="K235"/>
  <c r="N235"/>
  <c r="W235"/>
  <c r="H236"/>
  <c r="I236"/>
  <c r="K236"/>
  <c r="N236"/>
  <c r="W236"/>
  <c r="H237"/>
  <c r="I237"/>
  <c r="K237"/>
  <c r="N237"/>
  <c r="W237"/>
  <c r="H238"/>
  <c r="I238"/>
  <c r="K238"/>
  <c r="N238"/>
  <c r="W238"/>
  <c r="H239"/>
  <c r="I239"/>
  <c r="K239"/>
  <c r="N239"/>
  <c r="W239"/>
  <c r="H240"/>
  <c r="I240"/>
  <c r="K240"/>
  <c r="N240"/>
  <c r="W240"/>
  <c r="H241"/>
  <c r="I241"/>
  <c r="K241"/>
  <c r="N241"/>
  <c r="W241"/>
  <c r="H242"/>
  <c r="I242"/>
  <c r="K242"/>
  <c r="N242"/>
  <c r="W242"/>
  <c r="H243"/>
  <c r="I243"/>
  <c r="K243"/>
  <c r="N243"/>
  <c r="W243"/>
  <c r="H244"/>
  <c r="I244"/>
  <c r="K244"/>
  <c r="N244"/>
  <c r="W244"/>
  <c r="H245"/>
  <c r="I245"/>
  <c r="K245"/>
  <c r="N245"/>
  <c r="W245"/>
  <c r="H246"/>
  <c r="I246"/>
  <c r="K246"/>
  <c r="N246"/>
  <c r="W246"/>
  <c r="H247"/>
  <c r="I247"/>
  <c r="K247"/>
  <c r="N247"/>
  <c r="W247"/>
  <c r="H248"/>
  <c r="I248"/>
  <c r="K248"/>
  <c r="N248"/>
  <c r="W248"/>
  <c r="H249"/>
  <c r="I249"/>
  <c r="K249"/>
  <c r="N249"/>
  <c r="W249"/>
  <c r="H250"/>
  <c r="I250"/>
  <c r="K250"/>
  <c r="N250"/>
  <c r="W250"/>
  <c r="H251"/>
  <c r="I251"/>
  <c r="K251"/>
  <c r="N251"/>
  <c r="W251"/>
  <c r="H252"/>
  <c r="I252"/>
  <c r="K252"/>
  <c r="N252"/>
  <c r="W252"/>
  <c r="H253"/>
  <c r="I253"/>
  <c r="K253"/>
  <c r="N253"/>
  <c r="W253"/>
  <c r="H254"/>
  <c r="I254"/>
  <c r="K254"/>
  <c r="N254"/>
  <c r="W254"/>
  <c r="H255"/>
  <c r="I255"/>
  <c r="K255"/>
  <c r="N255"/>
  <c r="W255"/>
  <c r="H256"/>
  <c r="I256"/>
  <c r="K256"/>
  <c r="N256"/>
  <c r="W256"/>
  <c r="H257"/>
  <c r="I257"/>
  <c r="K257"/>
  <c r="N257"/>
  <c r="W257"/>
  <c r="H258"/>
  <c r="I258"/>
  <c r="K258"/>
  <c r="N258"/>
  <c r="W258"/>
  <c r="H259"/>
  <c r="I259"/>
  <c r="K259"/>
  <c r="N259"/>
  <c r="W259"/>
  <c r="H260"/>
  <c r="I260"/>
  <c r="K260"/>
  <c r="N260"/>
  <c r="W260"/>
  <c r="H261"/>
  <c r="I261"/>
  <c r="K261"/>
  <c r="N261"/>
  <c r="W261"/>
  <c r="H262"/>
  <c r="I262"/>
  <c r="K262"/>
  <c r="N262"/>
  <c r="W262"/>
  <c r="H263"/>
  <c r="I263"/>
  <c r="K263"/>
  <c r="N263"/>
  <c r="W263"/>
  <c r="H264"/>
  <c r="I264"/>
  <c r="K264"/>
  <c r="N264"/>
  <c r="W264"/>
  <c r="H265"/>
  <c r="I265"/>
  <c r="K265"/>
  <c r="N265"/>
  <c r="W265"/>
  <c r="H266"/>
  <c r="I266"/>
  <c r="K266"/>
  <c r="N266"/>
  <c r="W266"/>
  <c r="H267"/>
  <c r="I267"/>
  <c r="K267"/>
  <c r="N267"/>
  <c r="W267"/>
  <c r="H268"/>
  <c r="I268"/>
  <c r="K268"/>
  <c r="N268"/>
  <c r="W268"/>
  <c r="H269"/>
  <c r="I269"/>
  <c r="K269"/>
  <c r="N269"/>
  <c r="W269"/>
  <c r="H270"/>
  <c r="I270"/>
  <c r="K270"/>
  <c r="N270"/>
  <c r="W270"/>
  <c r="H271"/>
  <c r="I271"/>
  <c r="K271"/>
  <c r="N271"/>
  <c r="W271"/>
  <c r="H272"/>
  <c r="I272"/>
  <c r="K272"/>
  <c r="N272"/>
  <c r="W272"/>
  <c r="H273"/>
  <c r="I273"/>
  <c r="K273"/>
  <c r="N273"/>
  <c r="W273"/>
  <c r="H274"/>
  <c r="I274"/>
  <c r="K274"/>
  <c r="N274"/>
  <c r="W274"/>
  <c r="H275"/>
  <c r="I275"/>
  <c r="K275"/>
  <c r="N275"/>
  <c r="W275"/>
  <c r="H276"/>
  <c r="I276"/>
  <c r="K276"/>
  <c r="N276"/>
  <c r="W276"/>
  <c r="H277"/>
  <c r="I277"/>
  <c r="K277"/>
  <c r="N277"/>
  <c r="W277"/>
  <c r="H278"/>
  <c r="I278"/>
  <c r="K278"/>
  <c r="N278"/>
  <c r="W278"/>
  <c r="H279"/>
  <c r="I279"/>
  <c r="K279"/>
  <c r="N279"/>
  <c r="W279"/>
  <c r="H280"/>
  <c r="I280"/>
  <c r="K280"/>
  <c r="N280"/>
  <c r="W280"/>
  <c r="H281"/>
  <c r="I281"/>
  <c r="K281"/>
  <c r="N281"/>
  <c r="W281"/>
  <c r="H282"/>
  <c r="I282"/>
  <c r="K282"/>
  <c r="N282"/>
  <c r="W282"/>
  <c r="H283"/>
  <c r="I283"/>
  <c r="K283"/>
  <c r="N283"/>
  <c r="W283"/>
  <c r="H284"/>
  <c r="I284"/>
  <c r="K284"/>
  <c r="N284"/>
  <c r="W284"/>
  <c r="H285"/>
  <c r="I285"/>
  <c r="K285"/>
  <c r="N285"/>
  <c r="W285"/>
  <c r="H286"/>
  <c r="I286"/>
  <c r="K286"/>
  <c r="N286"/>
  <c r="W286"/>
  <c r="H287"/>
  <c r="I287"/>
  <c r="K287"/>
  <c r="N287"/>
  <c r="W287"/>
  <c r="H288"/>
  <c r="I288"/>
  <c r="K288"/>
  <c r="N288"/>
  <c r="W288"/>
  <c r="H289"/>
  <c r="I289"/>
  <c r="K289"/>
  <c r="N289"/>
  <c r="W289"/>
  <c r="H290"/>
  <c r="I290"/>
  <c r="K290"/>
  <c r="N290"/>
  <c r="W290"/>
  <c r="H291"/>
  <c r="I291"/>
  <c r="K291"/>
  <c r="N291"/>
  <c r="W291"/>
  <c r="H292"/>
  <c r="I292"/>
  <c r="K292"/>
  <c r="N292"/>
  <c r="W292"/>
  <c r="H293"/>
  <c r="I293"/>
  <c r="K293"/>
  <c r="N293"/>
  <c r="W293"/>
  <c r="H294"/>
  <c r="I294"/>
  <c r="K294"/>
  <c r="N294"/>
  <c r="W294"/>
  <c r="H295"/>
  <c r="I295"/>
  <c r="K295"/>
  <c r="N295"/>
  <c r="W295"/>
  <c r="H296"/>
  <c r="I296"/>
  <c r="K296"/>
  <c r="N296"/>
  <c r="W296"/>
  <c r="H297"/>
  <c r="I297"/>
  <c r="K297"/>
  <c r="N297"/>
  <c r="W297"/>
  <c r="H298"/>
  <c r="I298"/>
  <c r="K298"/>
  <c r="N298"/>
  <c r="W298"/>
  <c r="H299"/>
  <c r="I299"/>
  <c r="K299"/>
  <c r="N299"/>
  <c r="W299"/>
  <c r="H300"/>
  <c r="I300"/>
  <c r="K300"/>
  <c r="N300"/>
  <c r="W300"/>
  <c r="H301"/>
  <c r="I301"/>
  <c r="K301"/>
  <c r="N301"/>
  <c r="W301"/>
  <c r="H302"/>
  <c r="I302"/>
  <c r="K302"/>
  <c r="N302"/>
  <c r="W302"/>
  <c r="H303"/>
  <c r="I303"/>
  <c r="K303"/>
  <c r="N303"/>
  <c r="W303"/>
  <c r="H304"/>
  <c r="I304"/>
  <c r="K304"/>
  <c r="N304"/>
  <c r="W304"/>
  <c r="H305"/>
  <c r="I305"/>
  <c r="K305"/>
  <c r="N305"/>
  <c r="W305"/>
  <c r="H306"/>
  <c r="I306"/>
  <c r="K306"/>
  <c r="N306"/>
  <c r="W306"/>
  <c r="H307"/>
  <c r="I307"/>
  <c r="K307"/>
  <c r="N307"/>
  <c r="W307"/>
  <c r="H308"/>
  <c r="I308"/>
  <c r="K308"/>
  <c r="N308"/>
  <c r="W308"/>
  <c r="H309"/>
  <c r="I309"/>
  <c r="K309"/>
  <c r="N309"/>
  <c r="W309"/>
  <c r="H310"/>
  <c r="I310"/>
  <c r="K310"/>
  <c r="N310"/>
  <c r="W310"/>
  <c r="H311"/>
  <c r="I311"/>
  <c r="K311"/>
  <c r="N311"/>
  <c r="W311"/>
  <c r="H312"/>
  <c r="I312"/>
  <c r="K312"/>
  <c r="N312"/>
  <c r="W312"/>
  <c r="H313"/>
  <c r="I313"/>
  <c r="K313"/>
  <c r="N313"/>
  <c r="W313"/>
  <c r="H314"/>
  <c r="I314"/>
  <c r="K314"/>
  <c r="N314"/>
  <c r="W314"/>
  <c r="H315"/>
  <c r="I315"/>
  <c r="K315"/>
  <c r="N315"/>
  <c r="W315"/>
  <c r="H316"/>
  <c r="I316"/>
  <c r="K316"/>
  <c r="N316"/>
  <c r="W316"/>
  <c r="H317"/>
  <c r="I317"/>
  <c r="K317"/>
  <c r="N317"/>
  <c r="W317"/>
  <c r="H318"/>
  <c r="I318"/>
  <c r="K318"/>
  <c r="N318"/>
  <c r="W318"/>
  <c r="H319"/>
  <c r="I319"/>
  <c r="K319"/>
  <c r="N319"/>
  <c r="W319"/>
  <c r="H320"/>
  <c r="I320"/>
  <c r="K320"/>
  <c r="N320"/>
  <c r="W320"/>
  <c r="H321"/>
  <c r="I321"/>
  <c r="K321"/>
  <c r="N321"/>
  <c r="W321"/>
  <c r="H322"/>
  <c r="I322"/>
  <c r="K322"/>
  <c r="N322"/>
  <c r="W322"/>
  <c r="H323"/>
  <c r="I323"/>
  <c r="K323"/>
  <c r="N323"/>
  <c r="W323"/>
  <c r="H324"/>
  <c r="I324"/>
  <c r="K324"/>
  <c r="N324"/>
  <c r="W324"/>
  <c r="H325"/>
  <c r="I325"/>
  <c r="K325"/>
  <c r="N325"/>
  <c r="W325"/>
  <c r="H326"/>
  <c r="I326"/>
  <c r="K326"/>
  <c r="N326"/>
  <c r="W326"/>
  <c r="H327"/>
  <c r="I327"/>
  <c r="K327"/>
  <c r="N327"/>
  <c r="W327"/>
  <c r="H328"/>
  <c r="I328"/>
  <c r="K328"/>
  <c r="N328"/>
  <c r="W328"/>
  <c r="H329"/>
  <c r="I329"/>
  <c r="K329"/>
  <c r="N329"/>
  <c r="W329"/>
  <c r="H330"/>
  <c r="I330"/>
  <c r="K330"/>
  <c r="N330"/>
  <c r="W330"/>
  <c r="H331"/>
  <c r="I331"/>
  <c r="K331"/>
  <c r="N331"/>
  <c r="W331"/>
  <c r="H332"/>
  <c r="I332"/>
  <c r="K332"/>
  <c r="N332"/>
  <c r="W332"/>
  <c r="H333"/>
  <c r="I333"/>
  <c r="K333"/>
  <c r="N333"/>
  <c r="W333"/>
  <c r="H334"/>
  <c r="I334"/>
  <c r="K334"/>
  <c r="N334"/>
  <c r="W334"/>
  <c r="H335"/>
  <c r="I335"/>
  <c r="K335"/>
  <c r="N335"/>
  <c r="W335"/>
  <c r="H336"/>
  <c r="I336"/>
  <c r="K336"/>
  <c r="N336"/>
  <c r="W336"/>
  <c r="H337"/>
  <c r="I337"/>
  <c r="K337"/>
  <c r="N337"/>
  <c r="W337"/>
  <c r="H338"/>
  <c r="I338"/>
  <c r="K338"/>
  <c r="N338"/>
  <c r="W338"/>
  <c r="H339"/>
  <c r="I339"/>
  <c r="K339"/>
  <c r="N339"/>
  <c r="W339"/>
  <c r="H340"/>
  <c r="I340"/>
  <c r="K340"/>
  <c r="N340"/>
  <c r="W340"/>
  <c r="H341"/>
  <c r="I341"/>
  <c r="K341"/>
  <c r="N341"/>
  <c r="W341"/>
  <c r="H342"/>
  <c r="I342"/>
  <c r="K342"/>
  <c r="N342"/>
  <c r="W342"/>
  <c r="H343"/>
  <c r="I343"/>
  <c r="K343"/>
  <c r="N343"/>
  <c r="W343"/>
  <c r="H344"/>
  <c r="I344"/>
  <c r="K344"/>
  <c r="N344"/>
  <c r="W344"/>
  <c r="H345"/>
  <c r="I345"/>
  <c r="K345"/>
  <c r="N345"/>
  <c r="W345"/>
  <c r="H346"/>
  <c r="I346"/>
  <c r="K346"/>
  <c r="N346"/>
  <c r="W346"/>
  <c r="H347"/>
  <c r="I347"/>
  <c r="K347"/>
  <c r="N347"/>
  <c r="W347"/>
  <c r="H348"/>
  <c r="I348"/>
  <c r="K348"/>
  <c r="N348"/>
  <c r="W348"/>
  <c r="H349"/>
  <c r="I349"/>
  <c r="K349"/>
  <c r="N349"/>
  <c r="W349"/>
  <c r="H350"/>
  <c r="I350"/>
  <c r="K350"/>
  <c r="N350"/>
  <c r="W350"/>
  <c r="H351"/>
  <c r="I351"/>
  <c r="K351"/>
  <c r="N351"/>
  <c r="W351"/>
  <c r="H352"/>
  <c r="I352"/>
  <c r="K352"/>
  <c r="N352"/>
  <c r="W352"/>
  <c r="H353"/>
  <c r="I353"/>
  <c r="K353"/>
  <c r="N353"/>
  <c r="W353"/>
  <c r="H354"/>
  <c r="I354"/>
  <c r="K354"/>
  <c r="N354"/>
  <c r="W354"/>
  <c r="H355"/>
  <c r="I355"/>
  <c r="K355"/>
  <c r="N355"/>
  <c r="W355"/>
  <c r="H356"/>
  <c r="I356"/>
  <c r="K356"/>
  <c r="N356"/>
  <c r="W356"/>
  <c r="H357"/>
  <c r="I357"/>
  <c r="K357"/>
  <c r="N357"/>
  <c r="W357"/>
  <c r="H358"/>
  <c r="I358"/>
  <c r="K358"/>
  <c r="N358"/>
  <c r="W358"/>
  <c r="H359"/>
  <c r="I359"/>
  <c r="K359"/>
  <c r="N359"/>
  <c r="W359"/>
  <c r="H360"/>
  <c r="I360"/>
  <c r="K360"/>
  <c r="N360"/>
  <c r="W360"/>
  <c r="H361"/>
  <c r="I361"/>
  <c r="K361"/>
  <c r="N361"/>
  <c r="W361"/>
  <c r="H362"/>
  <c r="I362"/>
  <c r="K362"/>
  <c r="N362"/>
  <c r="W362"/>
  <c r="H363"/>
  <c r="I363"/>
  <c r="K363"/>
  <c r="N363"/>
  <c r="W363"/>
  <c r="H364"/>
  <c r="I364"/>
  <c r="K364"/>
  <c r="N364"/>
  <c r="W364"/>
  <c r="H365"/>
  <c r="I365"/>
  <c r="K365"/>
  <c r="N365"/>
  <c r="W365"/>
  <c r="H366"/>
  <c r="I366"/>
  <c r="K366"/>
  <c r="N366"/>
  <c r="W366"/>
  <c r="H367"/>
  <c r="I367"/>
  <c r="K367"/>
  <c r="N367"/>
  <c r="W367"/>
  <c r="H368"/>
  <c r="I368"/>
  <c r="K368"/>
  <c r="N368"/>
  <c r="W368"/>
  <c r="H369"/>
  <c r="I369"/>
  <c r="K369"/>
  <c r="N369"/>
  <c r="W369"/>
  <c r="H370"/>
  <c r="I370"/>
  <c r="K370"/>
  <c r="N370"/>
  <c r="W370"/>
  <c r="H371"/>
  <c r="I371"/>
  <c r="K371"/>
  <c r="N371"/>
  <c r="W371"/>
  <c r="H372"/>
  <c r="I372"/>
  <c r="K372"/>
  <c r="N372"/>
  <c r="W372"/>
  <c r="H373"/>
  <c r="I373"/>
  <c r="K373"/>
  <c r="N373"/>
  <c r="W373"/>
  <c r="H374"/>
  <c r="I374"/>
  <c r="K374"/>
  <c r="N374"/>
  <c r="W374"/>
  <c r="H375"/>
  <c r="I375"/>
  <c r="K375"/>
  <c r="N375"/>
  <c r="W375"/>
  <c r="H376"/>
  <c r="I376"/>
  <c r="K376"/>
  <c r="N376"/>
  <c r="W376"/>
  <c r="H377"/>
  <c r="I377"/>
  <c r="K377"/>
  <c r="N377"/>
  <c r="W377"/>
  <c r="H378"/>
  <c r="I378"/>
  <c r="K378"/>
  <c r="N378"/>
  <c r="W378"/>
  <c r="H379"/>
  <c r="I379"/>
  <c r="K379"/>
  <c r="N379"/>
  <c r="W379"/>
  <c r="H380"/>
  <c r="I380"/>
  <c r="K380"/>
  <c r="N380"/>
  <c r="W380"/>
  <c r="H381"/>
  <c r="I381"/>
  <c r="K381"/>
  <c r="N381"/>
  <c r="W381"/>
  <c r="H382"/>
  <c r="I382"/>
  <c r="K382"/>
  <c r="N382"/>
  <c r="W382"/>
  <c r="H383"/>
  <c r="I383"/>
  <c r="K383"/>
  <c r="N383"/>
  <c r="W383"/>
  <c r="H384"/>
  <c r="I384"/>
  <c r="K384"/>
  <c r="N384"/>
  <c r="W384"/>
  <c r="H385"/>
  <c r="I385"/>
  <c r="K385"/>
  <c r="N385"/>
  <c r="W385"/>
  <c r="H386"/>
  <c r="I386"/>
  <c r="K386"/>
  <c r="N386"/>
  <c r="W386"/>
  <c r="H387"/>
  <c r="I387"/>
  <c r="K387"/>
  <c r="N387"/>
  <c r="W387"/>
  <c r="H388"/>
  <c r="I388"/>
  <c r="K388"/>
  <c r="N388"/>
  <c r="W388"/>
  <c r="H389"/>
  <c r="I389"/>
  <c r="K389"/>
  <c r="N389"/>
  <c r="W389"/>
  <c r="H390"/>
  <c r="I390"/>
  <c r="K390"/>
  <c r="N390"/>
  <c r="W390"/>
  <c r="H391"/>
  <c r="I391"/>
  <c r="K391"/>
  <c r="N391"/>
  <c r="W391"/>
  <c r="H392"/>
  <c r="I392"/>
  <c r="K392"/>
  <c r="N392"/>
  <c r="W392"/>
  <c r="H393"/>
  <c r="I393"/>
  <c r="K393"/>
  <c r="N393"/>
  <c r="W393"/>
  <c r="H394"/>
  <c r="I394"/>
  <c r="K394"/>
  <c r="N394"/>
  <c r="W394"/>
  <c r="H395"/>
  <c r="I395"/>
  <c r="K395"/>
  <c r="N395"/>
  <c r="W395"/>
  <c r="H396"/>
  <c r="I396"/>
  <c r="K396"/>
  <c r="N396"/>
  <c r="W396"/>
  <c r="H397"/>
  <c r="I397"/>
  <c r="K397"/>
  <c r="N397"/>
  <c r="W397"/>
  <c r="H398"/>
  <c r="I398"/>
  <c r="K398"/>
  <c r="N398"/>
  <c r="W398"/>
  <c r="H399"/>
  <c r="I399"/>
  <c r="K399"/>
  <c r="N399"/>
  <c r="W399"/>
  <c r="H400"/>
  <c r="I400"/>
  <c r="K400"/>
  <c r="N400"/>
  <c r="W400"/>
  <c r="H401"/>
  <c r="I401"/>
  <c r="K401"/>
  <c r="N401"/>
  <c r="W401"/>
  <c r="H402"/>
  <c r="I402"/>
  <c r="K402"/>
  <c r="N402"/>
  <c r="W402"/>
  <c r="H403"/>
  <c r="I403"/>
  <c r="K403"/>
  <c r="N403"/>
  <c r="W403"/>
  <c r="H404"/>
  <c r="I404"/>
  <c r="K404"/>
  <c r="N404"/>
  <c r="W404"/>
  <c r="H405"/>
  <c r="I405"/>
  <c r="K405"/>
  <c r="N405"/>
  <c r="W405"/>
  <c r="H406"/>
  <c r="I406"/>
  <c r="K406"/>
  <c r="N406"/>
  <c r="W406"/>
  <c r="H407"/>
  <c r="I407"/>
  <c r="K407"/>
  <c r="N407"/>
  <c r="W407"/>
  <c r="H408"/>
  <c r="I408"/>
  <c r="K408"/>
  <c r="N408"/>
  <c r="W408"/>
  <c r="H409"/>
  <c r="I409"/>
  <c r="K409"/>
  <c r="N409"/>
  <c r="W409"/>
  <c r="H410"/>
  <c r="I410"/>
  <c r="K410"/>
  <c r="N410"/>
  <c r="W410"/>
  <c r="H411"/>
  <c r="I411"/>
  <c r="K411"/>
  <c r="N411"/>
  <c r="W411"/>
  <c r="H412"/>
  <c r="I412"/>
  <c r="K412"/>
  <c r="N412"/>
  <c r="W412"/>
  <c r="H413"/>
  <c r="I413"/>
  <c r="K413"/>
  <c r="N413"/>
  <c r="W413"/>
  <c r="H414"/>
  <c r="I414"/>
  <c r="K414"/>
  <c r="N414"/>
  <c r="W414"/>
  <c r="H415"/>
  <c r="I415"/>
  <c r="K415"/>
  <c r="N415"/>
  <c r="W415"/>
  <c r="H416"/>
  <c r="I416"/>
  <c r="K416"/>
  <c r="N416"/>
  <c r="W416"/>
  <c r="H417"/>
  <c r="I417"/>
  <c r="K417"/>
  <c r="N417"/>
  <c r="W417"/>
  <c r="H418"/>
  <c r="I418"/>
  <c r="K418"/>
  <c r="N418"/>
  <c r="W418"/>
  <c r="H419"/>
  <c r="I419"/>
  <c r="K419"/>
  <c r="N419"/>
  <c r="W419"/>
  <c r="H420"/>
  <c r="I420"/>
  <c r="K420"/>
  <c r="N420"/>
  <c r="W420"/>
  <c r="H421"/>
  <c r="I421"/>
  <c r="K421"/>
  <c r="N421"/>
  <c r="W421"/>
  <c r="H422"/>
  <c r="I422"/>
  <c r="K422"/>
  <c r="N422"/>
  <c r="W422"/>
  <c r="H423"/>
  <c r="I423"/>
  <c r="K423"/>
  <c r="N423"/>
  <c r="W423"/>
  <c r="H424"/>
  <c r="I424"/>
  <c r="K424"/>
  <c r="N424"/>
  <c r="W424"/>
  <c r="H425"/>
  <c r="I425"/>
  <c r="K425"/>
  <c r="N425"/>
  <c r="W425"/>
  <c r="H426"/>
  <c r="I426"/>
  <c r="K426"/>
  <c r="N426"/>
  <c r="W426"/>
  <c r="H427"/>
  <c r="I427"/>
  <c r="K427"/>
  <c r="N427"/>
  <c r="W427"/>
  <c r="H428"/>
  <c r="I428"/>
  <c r="K428"/>
  <c r="N428"/>
  <c r="W428"/>
  <c r="H429"/>
  <c r="I429"/>
  <c r="K429"/>
  <c r="N429"/>
  <c r="W429"/>
  <c r="H430"/>
  <c r="I430"/>
  <c r="K430"/>
  <c r="N430"/>
  <c r="W430"/>
  <c r="H431"/>
  <c r="I431"/>
  <c r="K431"/>
  <c r="N431"/>
  <c r="W431"/>
  <c r="H432"/>
  <c r="I432"/>
  <c r="K432"/>
  <c r="N432"/>
  <c r="W432"/>
  <c r="H433"/>
  <c r="I433"/>
  <c r="K433"/>
  <c r="N433"/>
  <c r="W433"/>
  <c r="H434"/>
  <c r="I434"/>
  <c r="K434"/>
  <c r="N434"/>
  <c r="W434"/>
  <c r="H435"/>
  <c r="I435"/>
  <c r="K435"/>
  <c r="N435"/>
  <c r="W435"/>
  <c r="H436"/>
  <c r="I436"/>
  <c r="K436"/>
  <c r="N436"/>
  <c r="W436"/>
  <c r="H437"/>
  <c r="I437"/>
  <c r="K437"/>
  <c r="N437"/>
  <c r="W437"/>
  <c r="H438"/>
  <c r="I438"/>
  <c r="K438"/>
  <c r="N438"/>
  <c r="W438"/>
  <c r="H439"/>
  <c r="I439"/>
  <c r="K439"/>
  <c r="N439"/>
  <c r="W439"/>
  <c r="H440"/>
  <c r="I440"/>
  <c r="K440"/>
  <c r="N440"/>
  <c r="W440"/>
  <c r="H441"/>
  <c r="I441"/>
  <c r="K441"/>
  <c r="N441"/>
  <c r="W441"/>
  <c r="H442"/>
  <c r="I442"/>
  <c r="K442"/>
  <c r="N442"/>
  <c r="W442"/>
  <c r="H443"/>
  <c r="I443"/>
  <c r="K443"/>
  <c r="N443"/>
  <c r="W443"/>
  <c r="H444"/>
  <c r="I444"/>
  <c r="K444"/>
  <c r="N444"/>
  <c r="W444"/>
  <c r="H445"/>
  <c r="I445"/>
  <c r="K445"/>
  <c r="N445"/>
  <c r="W445"/>
  <c r="H446"/>
  <c r="I446"/>
  <c r="K446"/>
  <c r="N446"/>
  <c r="W446"/>
  <c r="H447"/>
  <c r="I447"/>
  <c r="K447"/>
  <c r="N447"/>
  <c r="W447"/>
  <c r="H448"/>
  <c r="I448"/>
  <c r="K448"/>
  <c r="N448"/>
  <c r="W448"/>
  <c r="H449"/>
  <c r="I449"/>
  <c r="K449"/>
  <c r="N449"/>
  <c r="W449"/>
  <c r="H450"/>
  <c r="I450"/>
  <c r="K450"/>
  <c r="N450"/>
  <c r="W450"/>
  <c r="H451"/>
  <c r="I451"/>
  <c r="K451"/>
  <c r="N451"/>
  <c r="W451"/>
  <c r="H452"/>
  <c r="I452"/>
  <c r="K452"/>
  <c r="N452"/>
  <c r="W452"/>
  <c r="H453"/>
  <c r="I453"/>
  <c r="K453"/>
  <c r="N453"/>
  <c r="W453"/>
  <c r="H454"/>
  <c r="I454"/>
  <c r="K454"/>
  <c r="N454"/>
  <c r="W454"/>
  <c r="H455"/>
  <c r="I455"/>
  <c r="K455"/>
  <c r="N455"/>
  <c r="W455"/>
  <c r="H456"/>
  <c r="I456"/>
  <c r="K456"/>
  <c r="N456"/>
  <c r="W456"/>
  <c r="H457"/>
  <c r="I457"/>
  <c r="K457"/>
  <c r="N457"/>
  <c r="W457"/>
  <c r="H458"/>
  <c r="I458"/>
  <c r="K458"/>
  <c r="N458"/>
  <c r="W458"/>
  <c r="H459"/>
  <c r="I459"/>
  <c r="K459"/>
  <c r="N459"/>
  <c r="W459"/>
  <c r="H460"/>
  <c r="I460"/>
  <c r="K460"/>
  <c r="N460"/>
  <c r="W460"/>
  <c r="H461"/>
  <c r="I461"/>
  <c r="K461"/>
  <c r="N461"/>
  <c r="W461"/>
  <c r="H462"/>
  <c r="I462"/>
  <c r="K462"/>
  <c r="N462"/>
  <c r="W462"/>
  <c r="H463"/>
  <c r="I463"/>
  <c r="K463"/>
  <c r="N463"/>
  <c r="W463"/>
  <c r="H464"/>
  <c r="I464"/>
  <c r="K464"/>
  <c r="N464"/>
  <c r="W464"/>
  <c r="H465"/>
  <c r="I465"/>
  <c r="K465"/>
  <c r="N465"/>
  <c r="W465"/>
  <c r="H466"/>
  <c r="I466"/>
  <c r="K466"/>
  <c r="N466"/>
  <c r="W466"/>
  <c r="H467"/>
  <c r="I467"/>
  <c r="K467"/>
  <c r="N467"/>
  <c r="W467"/>
  <c r="H468"/>
  <c r="I468"/>
  <c r="K468"/>
  <c r="N468"/>
  <c r="W468"/>
  <c r="H469"/>
  <c r="I469"/>
  <c r="K469"/>
  <c r="N469"/>
  <c r="W469"/>
  <c r="H470"/>
  <c r="I470"/>
  <c r="K470"/>
  <c r="N470"/>
  <c r="W470"/>
  <c r="H471"/>
  <c r="I471"/>
  <c r="K471"/>
  <c r="N471"/>
  <c r="W471"/>
  <c r="H472"/>
  <c r="I472"/>
  <c r="K472"/>
  <c r="N472"/>
  <c r="W472"/>
  <c r="H473"/>
  <c r="I473"/>
  <c r="K473"/>
  <c r="N473"/>
  <c r="W473"/>
  <c r="H474"/>
  <c r="I474"/>
  <c r="K474"/>
  <c r="N474"/>
  <c r="W474"/>
  <c r="H475"/>
  <c r="I475"/>
  <c r="K475"/>
  <c r="N475"/>
  <c r="W475"/>
  <c r="H476"/>
  <c r="I476"/>
  <c r="K476"/>
  <c r="N476"/>
  <c r="W476"/>
  <c r="H477"/>
  <c r="I477"/>
  <c r="K477"/>
  <c r="N477"/>
  <c r="W477"/>
  <c r="H478"/>
  <c r="I478"/>
  <c r="K478"/>
  <c r="N478"/>
  <c r="W478"/>
  <c r="H479"/>
  <c r="I479"/>
  <c r="K479"/>
  <c r="N479"/>
  <c r="W479"/>
  <c r="H480"/>
  <c r="I480"/>
  <c r="K480"/>
  <c r="N480"/>
  <c r="W480"/>
  <c r="H481"/>
  <c r="I481"/>
  <c r="K481"/>
  <c r="N481"/>
  <c r="W481"/>
  <c r="H482"/>
  <c r="I482"/>
  <c r="K482"/>
  <c r="N482"/>
  <c r="W482"/>
  <c r="H483"/>
  <c r="I483"/>
  <c r="K483"/>
  <c r="N483"/>
  <c r="W483"/>
  <c r="H484"/>
  <c r="I484"/>
  <c r="K484"/>
  <c r="N484"/>
  <c r="W484"/>
  <c r="H485"/>
  <c r="I485"/>
  <c r="K485"/>
  <c r="N485"/>
  <c r="W485"/>
  <c r="H486"/>
  <c r="I486"/>
  <c r="K486"/>
  <c r="N486"/>
  <c r="W486"/>
  <c r="H487"/>
  <c r="I487"/>
  <c r="K487"/>
  <c r="N487"/>
  <c r="W487"/>
  <c r="H488"/>
  <c r="I488"/>
  <c r="K488"/>
  <c r="N488"/>
  <c r="W488"/>
  <c r="H489"/>
  <c r="I489"/>
  <c r="K489"/>
  <c r="N489"/>
  <c r="W489"/>
  <c r="H490"/>
  <c r="I490"/>
  <c r="K490"/>
  <c r="N490"/>
  <c r="W490"/>
  <c r="H491"/>
  <c r="I491"/>
  <c r="K491"/>
  <c r="N491"/>
  <c r="W491"/>
  <c r="H492"/>
  <c r="I492"/>
  <c r="K492"/>
  <c r="N492"/>
  <c r="W492"/>
  <c r="H493"/>
  <c r="I493"/>
  <c r="K493"/>
  <c r="N493"/>
  <c r="W493"/>
  <c r="H494"/>
  <c r="I494"/>
  <c r="K494"/>
  <c r="N494"/>
  <c r="W494"/>
  <c r="H495"/>
  <c r="I495"/>
  <c r="K495"/>
  <c r="N495"/>
  <c r="W495"/>
  <c r="H496"/>
  <c r="I496"/>
  <c r="K496"/>
  <c r="N496"/>
  <c r="W496"/>
  <c r="H497"/>
  <c r="I497"/>
  <c r="K497"/>
  <c r="N497"/>
  <c r="W497"/>
  <c r="H498"/>
  <c r="I498"/>
  <c r="K498"/>
  <c r="N498"/>
  <c r="W498"/>
  <c r="H499"/>
  <c r="I499"/>
  <c r="K499"/>
  <c r="N499"/>
  <c r="W499"/>
  <c r="H500"/>
  <c r="I500"/>
  <c r="K500"/>
  <c r="N500"/>
  <c r="W500"/>
  <c r="H501"/>
  <c r="I501"/>
  <c r="K501"/>
  <c r="N501"/>
  <c r="W501"/>
  <c r="H502"/>
  <c r="I502"/>
  <c r="K502"/>
  <c r="N502"/>
  <c r="W502"/>
  <c r="H503"/>
  <c r="I503"/>
  <c r="K503"/>
  <c r="N503"/>
  <c r="W503"/>
  <c r="H504"/>
  <c r="I504"/>
  <c r="K504"/>
  <c r="N504"/>
  <c r="W504"/>
  <c r="H505"/>
  <c r="I505"/>
  <c r="K505"/>
  <c r="N505"/>
  <c r="W505"/>
  <c r="H506"/>
  <c r="I506"/>
  <c r="K506"/>
  <c r="N506"/>
  <c r="W506"/>
  <c r="H507"/>
  <c r="I507"/>
  <c r="K507"/>
  <c r="N507"/>
  <c r="W507"/>
  <c r="H508"/>
  <c r="I508"/>
  <c r="K508"/>
  <c r="N508"/>
  <c r="W508"/>
  <c r="H509"/>
  <c r="I509"/>
  <c r="K509"/>
  <c r="N509"/>
  <c r="W509"/>
  <c r="H510"/>
  <c r="I510"/>
  <c r="K510"/>
  <c r="N510"/>
  <c r="W510"/>
  <c r="H511"/>
  <c r="I511"/>
  <c r="K511"/>
  <c r="N511"/>
  <c r="W511"/>
  <c r="H512"/>
  <c r="I512"/>
  <c r="K512"/>
  <c r="N512"/>
  <c r="W512"/>
  <c r="H513"/>
  <c r="I513"/>
  <c r="K513"/>
  <c r="N513"/>
  <c r="W513"/>
  <c r="H514"/>
  <c r="I514"/>
  <c r="K514"/>
  <c r="N514"/>
  <c r="W514"/>
  <c r="H515"/>
  <c r="I515"/>
  <c r="K515"/>
  <c r="N515"/>
  <c r="W515"/>
  <c r="H516"/>
  <c r="I516"/>
  <c r="K516"/>
  <c r="N516"/>
  <c r="W516"/>
  <c r="H517"/>
  <c r="I517"/>
  <c r="K517"/>
  <c r="N517"/>
  <c r="W517"/>
  <c r="H518"/>
  <c r="I518"/>
  <c r="K518"/>
  <c r="N518"/>
  <c r="W518"/>
  <c r="H519"/>
  <c r="I519"/>
  <c r="K519"/>
  <c r="N519"/>
  <c r="W519"/>
  <c r="H520"/>
  <c r="I520"/>
  <c r="K520"/>
  <c r="N520"/>
  <c r="W520"/>
  <c r="H521"/>
  <c r="I521"/>
  <c r="K521"/>
  <c r="N521"/>
  <c r="W521"/>
  <c r="H522"/>
  <c r="I522"/>
  <c r="K522"/>
  <c r="N522"/>
  <c r="W522"/>
  <c r="H523"/>
  <c r="I523"/>
  <c r="K523"/>
  <c r="N523"/>
  <c r="W523"/>
  <c r="H524"/>
  <c r="I524"/>
  <c r="K524"/>
  <c r="N524"/>
  <c r="W524"/>
  <c r="H525"/>
  <c r="I525"/>
  <c r="K525"/>
  <c r="N525"/>
  <c r="W525"/>
  <c r="H526"/>
  <c r="I526"/>
  <c r="K526"/>
  <c r="N526"/>
  <c r="W526"/>
  <c r="H527"/>
  <c r="I527"/>
  <c r="K527"/>
  <c r="N527"/>
  <c r="W527"/>
  <c r="H528"/>
  <c r="I528"/>
  <c r="K528"/>
  <c r="N528"/>
  <c r="W528"/>
  <c r="H529"/>
  <c r="I529"/>
  <c r="K529"/>
  <c r="N529"/>
  <c r="W529"/>
  <c r="H530"/>
  <c r="I530"/>
  <c r="K530"/>
  <c r="N530"/>
  <c r="W530"/>
  <c r="H531"/>
  <c r="I531"/>
  <c r="K531"/>
  <c r="N531"/>
  <c r="W531"/>
  <c r="H532"/>
  <c r="I532"/>
  <c r="K532"/>
  <c r="N532"/>
  <c r="W532"/>
  <c r="H533"/>
  <c r="I533"/>
  <c r="K533"/>
  <c r="N533"/>
  <c r="W533"/>
  <c r="H534"/>
  <c r="I534"/>
  <c r="K534"/>
  <c r="N534"/>
  <c r="W534"/>
  <c r="H535"/>
  <c r="I535"/>
  <c r="K535"/>
  <c r="N535"/>
  <c r="W535"/>
  <c r="H536"/>
  <c r="I536"/>
  <c r="K536"/>
  <c r="N536"/>
  <c r="W536"/>
  <c r="H537"/>
  <c r="I537"/>
  <c r="K537"/>
  <c r="N537"/>
  <c r="W537"/>
  <c r="H538"/>
  <c r="I538"/>
  <c r="K538"/>
  <c r="N538"/>
  <c r="W538"/>
  <c r="H539"/>
  <c r="I539"/>
  <c r="K539"/>
  <c r="N539"/>
  <c r="W539"/>
  <c r="H540"/>
  <c r="I540"/>
  <c r="K540"/>
  <c r="N540"/>
  <c r="W540"/>
  <c r="H541"/>
  <c r="I541"/>
  <c r="K541"/>
  <c r="N541"/>
  <c r="W541"/>
  <c r="H542"/>
  <c r="I542"/>
  <c r="K542"/>
  <c r="N542"/>
  <c r="W542"/>
  <c r="H543"/>
  <c r="I543"/>
  <c r="K543"/>
  <c r="N543"/>
  <c r="W543"/>
  <c r="H544"/>
  <c r="I544"/>
  <c r="K544"/>
  <c r="N544"/>
  <c r="W544"/>
  <c r="H545"/>
  <c r="I545"/>
  <c r="K545"/>
  <c r="N545"/>
  <c r="W545"/>
  <c r="H546"/>
  <c r="I546"/>
  <c r="K546"/>
  <c r="N546"/>
  <c r="W546"/>
  <c r="H547"/>
  <c r="I547"/>
  <c r="K547"/>
  <c r="N547"/>
  <c r="W547"/>
  <c r="H548"/>
  <c r="I548"/>
  <c r="K548"/>
  <c r="N548"/>
  <c r="W548"/>
  <c r="H549"/>
  <c r="I549"/>
  <c r="K549"/>
  <c r="N549"/>
  <c r="W549"/>
  <c r="H550"/>
  <c r="I550"/>
  <c r="K550"/>
  <c r="N550"/>
  <c r="W550"/>
  <c r="H551"/>
  <c r="I551"/>
  <c r="K551"/>
  <c r="N551"/>
  <c r="W551"/>
  <c r="H552"/>
  <c r="I552"/>
  <c r="K552"/>
  <c r="N552"/>
  <c r="W552"/>
  <c r="H553"/>
  <c r="I553"/>
  <c r="K553"/>
  <c r="N553"/>
  <c r="W553"/>
  <c r="H554"/>
  <c r="I554"/>
  <c r="K554"/>
  <c r="N554"/>
  <c r="W554"/>
  <c r="H555"/>
  <c r="I555"/>
  <c r="K555"/>
  <c r="N555"/>
  <c r="W555"/>
  <c r="H556"/>
  <c r="I556"/>
  <c r="K556"/>
  <c r="N556"/>
  <c r="W556"/>
  <c r="H557"/>
  <c r="I557"/>
  <c r="K557"/>
  <c r="N557"/>
  <c r="W557"/>
  <c r="H558"/>
  <c r="I558"/>
  <c r="K558"/>
  <c r="N558"/>
  <c r="W558"/>
  <c r="H559"/>
  <c r="I559"/>
  <c r="K559"/>
  <c r="N559"/>
  <c r="W559"/>
  <c r="H560"/>
  <c r="I560"/>
  <c r="K560"/>
  <c r="N560"/>
  <c r="W560"/>
  <c r="H561"/>
  <c r="I561"/>
  <c r="K561"/>
  <c r="N561"/>
  <c r="W561"/>
  <c r="H562"/>
  <c r="I562"/>
  <c r="K562"/>
  <c r="N562"/>
  <c r="W562"/>
  <c r="H563"/>
  <c r="I563"/>
  <c r="K563"/>
  <c r="N563"/>
  <c r="W563"/>
  <c r="H564"/>
  <c r="I564"/>
  <c r="K564"/>
  <c r="N564"/>
  <c r="W564"/>
  <c r="H565"/>
  <c r="I565"/>
  <c r="K565"/>
  <c r="N565"/>
  <c r="W565"/>
  <c r="H566"/>
  <c r="I566"/>
  <c r="K566"/>
  <c r="N566"/>
  <c r="W566"/>
  <c r="H567"/>
  <c r="I567"/>
  <c r="K567"/>
  <c r="N567"/>
  <c r="W567"/>
  <c r="H568"/>
  <c r="I568"/>
  <c r="K568"/>
  <c r="N568"/>
  <c r="W568"/>
  <c r="H569"/>
  <c r="I569"/>
  <c r="K569"/>
  <c r="N569"/>
  <c r="W569"/>
  <c r="H570"/>
  <c r="I570"/>
  <c r="K570"/>
  <c r="N570"/>
  <c r="W570"/>
  <c r="H571"/>
  <c r="I571"/>
  <c r="K571"/>
  <c r="N571"/>
  <c r="W571"/>
  <c r="H572"/>
  <c r="I572"/>
  <c r="K572"/>
  <c r="N572"/>
  <c r="W572"/>
  <c r="H573"/>
  <c r="I573"/>
  <c r="K573"/>
  <c r="N573"/>
  <c r="W573"/>
  <c r="H574"/>
  <c r="I574"/>
  <c r="K574"/>
  <c r="N574"/>
  <c r="W574"/>
  <c r="H575"/>
  <c r="I575"/>
  <c r="K575"/>
  <c r="N575"/>
  <c r="W575"/>
  <c r="H576"/>
  <c r="I576"/>
  <c r="K576"/>
  <c r="N576"/>
  <c r="W576"/>
  <c r="H577"/>
  <c r="I577"/>
  <c r="K577"/>
  <c r="N577"/>
  <c r="W577"/>
  <c r="H578"/>
  <c r="I578"/>
  <c r="K578"/>
  <c r="N578"/>
  <c r="W578"/>
  <c r="H579"/>
  <c r="I579"/>
  <c r="K579"/>
  <c r="N579"/>
  <c r="W579"/>
  <c r="H580"/>
  <c r="I580"/>
  <c r="K580"/>
  <c r="N580"/>
  <c r="W580"/>
  <c r="H581"/>
  <c r="I581"/>
  <c r="K581"/>
  <c r="N581"/>
  <c r="W581"/>
  <c r="H582"/>
  <c r="I582"/>
  <c r="K582"/>
  <c r="N582"/>
  <c r="W582"/>
  <c r="H583"/>
  <c r="I583"/>
  <c r="K583"/>
  <c r="N583"/>
  <c r="W583"/>
  <c r="H584"/>
  <c r="I584"/>
  <c r="K584"/>
  <c r="N584"/>
  <c r="W584"/>
  <c r="H585"/>
  <c r="I585"/>
  <c r="K585"/>
  <c r="N585"/>
  <c r="W585"/>
  <c r="H586"/>
  <c r="I586"/>
  <c r="K586"/>
  <c r="N586"/>
  <c r="W586"/>
  <c r="H587"/>
  <c r="I587"/>
  <c r="K587"/>
  <c r="N587"/>
  <c r="W587"/>
  <c r="H588"/>
  <c r="I588"/>
  <c r="K588"/>
  <c r="N588"/>
  <c r="W588"/>
  <c r="H589"/>
  <c r="I589"/>
  <c r="K589"/>
  <c r="N589"/>
  <c r="W589"/>
  <c r="H590"/>
  <c r="I590"/>
  <c r="K590"/>
  <c r="N590"/>
  <c r="W590"/>
  <c r="H591"/>
  <c r="I591"/>
  <c r="K591"/>
  <c r="N591"/>
  <c r="W591"/>
  <c r="H592"/>
  <c r="I592"/>
  <c r="K592"/>
  <c r="N592"/>
  <c r="W592"/>
  <c r="H593"/>
  <c r="I593"/>
  <c r="K593"/>
  <c r="N593"/>
  <c r="W593"/>
  <c r="H594"/>
  <c r="I594"/>
  <c r="K594"/>
  <c r="N594"/>
  <c r="W594"/>
  <c r="H595"/>
  <c r="I595"/>
  <c r="K595"/>
  <c r="N595"/>
  <c r="W595"/>
  <c r="H596"/>
  <c r="I596"/>
  <c r="K596"/>
  <c r="N596"/>
  <c r="W596"/>
  <c r="H597"/>
  <c r="I597"/>
  <c r="K597"/>
  <c r="N597"/>
  <c r="W597"/>
  <c r="H598"/>
  <c r="I598"/>
  <c r="K598"/>
  <c r="N598"/>
  <c r="W598"/>
  <c r="H599"/>
  <c r="I599"/>
  <c r="K599"/>
  <c r="N599"/>
  <c r="W599"/>
  <c r="H600"/>
  <c r="I600"/>
  <c r="K600"/>
  <c r="N600"/>
  <c r="W600"/>
  <c r="H601"/>
  <c r="I601"/>
  <c r="K601"/>
  <c r="N601"/>
  <c r="W601"/>
  <c r="H602"/>
  <c r="I602"/>
  <c r="K602"/>
  <c r="N602"/>
  <c r="W602"/>
  <c r="H603"/>
  <c r="I603"/>
  <c r="K603"/>
  <c r="N603"/>
  <c r="W603"/>
  <c r="H604"/>
  <c r="I604"/>
  <c r="K604"/>
  <c r="N604"/>
  <c r="W604"/>
  <c r="H605"/>
  <c r="I605"/>
  <c r="K605"/>
  <c r="N605"/>
  <c r="W605"/>
  <c r="H606"/>
  <c r="I606"/>
  <c r="K606"/>
  <c r="N606"/>
  <c r="W606"/>
  <c r="H607"/>
  <c r="I607"/>
  <c r="K607"/>
  <c r="N607"/>
  <c r="W607"/>
  <c r="H608"/>
  <c r="I608"/>
  <c r="K608"/>
  <c r="N608"/>
  <c r="W608"/>
  <c r="H609"/>
  <c r="I609"/>
  <c r="K609"/>
  <c r="N609"/>
  <c r="W609"/>
  <c r="H610"/>
  <c r="I610"/>
  <c r="K610"/>
  <c r="N610"/>
  <c r="W610"/>
  <c r="H611"/>
  <c r="I611"/>
  <c r="K611"/>
  <c r="N611"/>
  <c r="W611"/>
  <c r="H612"/>
  <c r="I612"/>
  <c r="K612"/>
  <c r="N612"/>
  <c r="W612"/>
  <c r="H613"/>
  <c r="I613"/>
  <c r="K613"/>
  <c r="N613"/>
  <c r="W613"/>
  <c r="H614"/>
  <c r="I614"/>
  <c r="K614"/>
  <c r="N614"/>
  <c r="W614"/>
  <c r="H615"/>
  <c r="I615"/>
  <c r="K615"/>
  <c r="N615"/>
  <c r="W615"/>
  <c r="H616"/>
  <c r="I616"/>
  <c r="K616"/>
  <c r="N616"/>
  <c r="W616"/>
  <c r="H617"/>
  <c r="I617"/>
  <c r="K617"/>
  <c r="N617"/>
  <c r="W617"/>
  <c r="H618"/>
  <c r="I618"/>
  <c r="K618"/>
  <c r="N618"/>
  <c r="W618"/>
  <c r="H619"/>
  <c r="I619"/>
  <c r="K619"/>
  <c r="N619"/>
  <c r="W619"/>
  <c r="H620"/>
  <c r="I620"/>
  <c r="K620"/>
  <c r="N620"/>
  <c r="W620"/>
  <c r="H621"/>
  <c r="I621"/>
  <c r="K621"/>
  <c r="N621"/>
  <c r="W621"/>
  <c r="H622"/>
  <c r="I622"/>
  <c r="K622"/>
  <c r="N622"/>
  <c r="W622"/>
  <c r="H623"/>
  <c r="I623"/>
  <c r="K623"/>
  <c r="N623"/>
  <c r="W623"/>
  <c r="H624"/>
  <c r="I624"/>
  <c r="K624"/>
  <c r="N624"/>
  <c r="W624"/>
  <c r="H625"/>
  <c r="I625"/>
  <c r="K625"/>
  <c r="N625"/>
  <c r="W625"/>
  <c r="H626"/>
  <c r="I626"/>
  <c r="K626"/>
  <c r="N626"/>
  <c r="W626"/>
  <c r="H627"/>
  <c r="I627"/>
  <c r="K627"/>
  <c r="N627"/>
  <c r="W627"/>
  <c r="H628"/>
  <c r="I628"/>
  <c r="K628"/>
  <c r="N628"/>
  <c r="W628"/>
  <c r="H629"/>
  <c r="I629"/>
  <c r="K629"/>
  <c r="N629"/>
  <c r="W629"/>
  <c r="H630"/>
  <c r="I630"/>
  <c r="K630"/>
  <c r="N630"/>
  <c r="W630"/>
  <c r="H631"/>
  <c r="I631"/>
  <c r="K631"/>
  <c r="N631"/>
  <c r="W631"/>
  <c r="H632"/>
  <c r="I632"/>
  <c r="K632"/>
  <c r="N632"/>
  <c r="W632"/>
  <c r="H633"/>
  <c r="I633"/>
  <c r="K633"/>
  <c r="N633"/>
  <c r="W633"/>
  <c r="H634"/>
  <c r="I634"/>
  <c r="K634"/>
  <c r="N634"/>
  <c r="W634"/>
  <c r="H635"/>
  <c r="I635"/>
  <c r="K635"/>
  <c r="N635"/>
  <c r="W635"/>
  <c r="H636"/>
  <c r="I636"/>
  <c r="K636"/>
  <c r="N636"/>
  <c r="W636"/>
  <c r="H637"/>
  <c r="I637"/>
  <c r="K637"/>
  <c r="N637"/>
  <c r="W637"/>
  <c r="H638"/>
  <c r="I638"/>
  <c r="K638"/>
  <c r="N638"/>
  <c r="W638"/>
  <c r="H639"/>
  <c r="I639"/>
  <c r="K639"/>
  <c r="N639"/>
  <c r="W639"/>
  <c r="H640"/>
  <c r="I640"/>
  <c r="K640"/>
  <c r="N640"/>
  <c r="W640"/>
  <c r="H641"/>
  <c r="I641"/>
  <c r="K641"/>
  <c r="N641"/>
  <c r="W641"/>
  <c r="H642"/>
  <c r="I642"/>
  <c r="K642"/>
  <c r="N642"/>
  <c r="W642"/>
  <c r="H643"/>
  <c r="I643"/>
  <c r="K643"/>
  <c r="N643"/>
  <c r="W643"/>
  <c r="H644"/>
  <c r="I644"/>
  <c r="K644"/>
  <c r="N644"/>
  <c r="W644"/>
  <c r="H645"/>
  <c r="I645"/>
  <c r="K645"/>
  <c r="N645"/>
  <c r="W645"/>
  <c r="H646"/>
  <c r="I646"/>
  <c r="K646"/>
  <c r="N646"/>
  <c r="W646"/>
  <c r="H647"/>
  <c r="I647"/>
  <c r="K647"/>
  <c r="N647"/>
  <c r="W647"/>
  <c r="H648"/>
  <c r="I648"/>
  <c r="K648"/>
  <c r="N648"/>
  <c r="W648"/>
  <c r="H649"/>
  <c r="I649"/>
  <c r="K649"/>
  <c r="N649"/>
  <c r="W649"/>
  <c r="H650"/>
  <c r="I650"/>
  <c r="K650"/>
  <c r="N650"/>
  <c r="W650"/>
  <c r="H651"/>
  <c r="I651"/>
  <c r="K651"/>
  <c r="N651"/>
  <c r="W651"/>
  <c r="H652"/>
  <c r="I652"/>
  <c r="K652"/>
  <c r="N652"/>
  <c r="W652"/>
  <c r="H653"/>
  <c r="I653"/>
  <c r="K653"/>
  <c r="N653"/>
  <c r="W653"/>
  <c r="H654"/>
  <c r="I654"/>
  <c r="K654"/>
  <c r="N654"/>
  <c r="W654"/>
  <c r="H655"/>
  <c r="I655"/>
  <c r="K655"/>
  <c r="N655"/>
  <c r="W655"/>
  <c r="H656"/>
  <c r="I656"/>
  <c r="K656"/>
  <c r="N656"/>
  <c r="W656"/>
  <c r="H657"/>
  <c r="I657"/>
  <c r="K657"/>
  <c r="N657"/>
  <c r="W657"/>
  <c r="H658"/>
  <c r="I658"/>
  <c r="K658"/>
  <c r="N658"/>
  <c r="W658"/>
  <c r="H659"/>
  <c r="I659"/>
  <c r="K659"/>
  <c r="N659"/>
  <c r="W659"/>
  <c r="H660"/>
  <c r="I660"/>
  <c r="K660"/>
  <c r="N660"/>
  <c r="W660"/>
  <c r="H661"/>
  <c r="I661"/>
  <c r="K661"/>
  <c r="N661"/>
  <c r="W661"/>
  <c r="H662"/>
  <c r="I662"/>
  <c r="K662"/>
  <c r="N662"/>
  <c r="W662"/>
  <c r="H663"/>
  <c r="I663"/>
  <c r="K663"/>
  <c r="N663"/>
  <c r="W663"/>
  <c r="H664"/>
  <c r="I664"/>
  <c r="K664"/>
  <c r="N664"/>
  <c r="W664"/>
  <c r="H665"/>
  <c r="I665"/>
  <c r="K665"/>
  <c r="N665"/>
  <c r="W665"/>
  <c r="H666"/>
  <c r="I666"/>
  <c r="K666"/>
  <c r="N666"/>
  <c r="W666"/>
  <c r="H667"/>
  <c r="I667"/>
  <c r="K667"/>
  <c r="N667"/>
  <c r="W667"/>
  <c r="H668"/>
  <c r="I668"/>
  <c r="K668"/>
  <c r="N668"/>
  <c r="W668"/>
  <c r="H669"/>
  <c r="I669"/>
  <c r="K669"/>
  <c r="N669"/>
  <c r="W669"/>
  <c r="H670"/>
  <c r="I670"/>
  <c r="K670"/>
  <c r="N670"/>
  <c r="W670"/>
  <c r="H671"/>
  <c r="I671"/>
  <c r="K671"/>
  <c r="N671"/>
  <c r="W671"/>
  <c r="H672"/>
  <c r="I672"/>
  <c r="K672"/>
  <c r="N672"/>
  <c r="W672"/>
  <c r="H673"/>
  <c r="I673"/>
  <c r="K673"/>
  <c r="N673"/>
  <c r="W673"/>
  <c r="H674"/>
  <c r="I674"/>
  <c r="K674"/>
  <c r="N674"/>
  <c r="W674"/>
  <c r="H675"/>
  <c r="I675"/>
  <c r="K675"/>
  <c r="N675"/>
  <c r="W675"/>
  <c r="H676"/>
  <c r="I676"/>
  <c r="K676"/>
  <c r="N676"/>
  <c r="W676"/>
  <c r="H677"/>
  <c r="I677"/>
  <c r="K677"/>
  <c r="N677"/>
  <c r="W677"/>
  <c r="H678"/>
  <c r="I678"/>
  <c r="K678"/>
  <c r="N678"/>
  <c r="W678"/>
  <c r="H679"/>
  <c r="I679"/>
  <c r="K679"/>
  <c r="N679"/>
  <c r="W679"/>
  <c r="H680"/>
  <c r="I680"/>
  <c r="K680"/>
  <c r="N680"/>
  <c r="W680"/>
  <c r="H681"/>
  <c r="I681"/>
  <c r="K681"/>
  <c r="N681"/>
  <c r="W681"/>
  <c r="H682"/>
  <c r="I682"/>
  <c r="K682"/>
  <c r="N682"/>
  <c r="W682"/>
  <c r="H683"/>
  <c r="I683"/>
  <c r="K683"/>
  <c r="N683"/>
  <c r="W683"/>
  <c r="H684"/>
  <c r="I684"/>
  <c r="K684"/>
  <c r="N684"/>
  <c r="W684"/>
  <c r="H685"/>
  <c r="I685"/>
  <c r="K685"/>
  <c r="N685"/>
  <c r="W685"/>
  <c r="H686"/>
  <c r="I686"/>
  <c r="K686"/>
  <c r="N686"/>
  <c r="W686"/>
  <c r="H687"/>
  <c r="I687"/>
  <c r="K687"/>
  <c r="N687"/>
  <c r="W687"/>
  <c r="H688"/>
  <c r="I688"/>
  <c r="K688"/>
  <c r="N688"/>
  <c r="W688"/>
  <c r="H689"/>
  <c r="I689"/>
  <c r="K689"/>
  <c r="N689"/>
  <c r="W689"/>
  <c r="H690"/>
  <c r="I690"/>
  <c r="K690"/>
  <c r="N690"/>
  <c r="W690"/>
  <c r="H691"/>
  <c r="I691"/>
  <c r="K691"/>
  <c r="N691"/>
  <c r="W691"/>
  <c r="H692"/>
  <c r="I692"/>
  <c r="K692"/>
  <c r="N692"/>
  <c r="W692"/>
  <c r="H693"/>
  <c r="I693"/>
  <c r="K693"/>
  <c r="N693"/>
  <c r="W693"/>
  <c r="H694"/>
  <c r="I694"/>
  <c r="K694"/>
  <c r="N694"/>
  <c r="W694"/>
  <c r="H695"/>
  <c r="I695"/>
  <c r="K695"/>
  <c r="N695"/>
  <c r="W695"/>
  <c r="H696"/>
  <c r="I696"/>
  <c r="K696"/>
  <c r="N696"/>
  <c r="W696"/>
  <c r="H697"/>
  <c r="I697"/>
  <c r="K697"/>
  <c r="N697"/>
  <c r="W697"/>
  <c r="H698"/>
  <c r="I698"/>
  <c r="K698"/>
  <c r="N698"/>
  <c r="W698"/>
  <c r="H699"/>
  <c r="I699"/>
  <c r="K699"/>
  <c r="N699"/>
  <c r="W699"/>
  <c r="H700"/>
  <c r="I700"/>
  <c r="K700"/>
  <c r="N700"/>
  <c r="W700"/>
  <c r="H701"/>
  <c r="I701"/>
  <c r="K701"/>
  <c r="N701"/>
  <c r="W701"/>
  <c r="H702"/>
  <c r="I702"/>
  <c r="K702"/>
  <c r="N702"/>
  <c r="W702"/>
  <c r="H703"/>
  <c r="I703"/>
  <c r="K703"/>
  <c r="N703"/>
  <c r="W703"/>
  <c r="H704"/>
  <c r="I704"/>
  <c r="K704"/>
  <c r="N704"/>
  <c r="W704"/>
  <c r="H705"/>
  <c r="I705"/>
  <c r="K705"/>
  <c r="N705"/>
  <c r="W705"/>
  <c r="H706"/>
  <c r="I706"/>
  <c r="K706"/>
  <c r="N706"/>
  <c r="W706"/>
  <c r="H707"/>
  <c r="I707"/>
  <c r="K707"/>
  <c r="N707"/>
  <c r="W707"/>
  <c r="H708"/>
  <c r="I708"/>
  <c r="K708"/>
  <c r="N708"/>
  <c r="W708"/>
  <c r="H709"/>
  <c r="I709"/>
  <c r="K709"/>
  <c r="N709"/>
  <c r="W709"/>
  <c r="H710"/>
  <c r="I710"/>
  <c r="K710"/>
  <c r="N710"/>
  <c r="W710"/>
  <c r="H711"/>
  <c r="I711"/>
  <c r="K711"/>
  <c r="N711"/>
  <c r="W711"/>
  <c r="H712"/>
  <c r="I712"/>
  <c r="K712"/>
  <c r="N712"/>
  <c r="W712"/>
  <c r="H713"/>
  <c r="I713"/>
  <c r="K713"/>
  <c r="N713"/>
  <c r="W713"/>
  <c r="H714"/>
  <c r="I714"/>
  <c r="K714"/>
  <c r="N714"/>
  <c r="W714"/>
  <c r="H715"/>
  <c r="I715"/>
  <c r="K715"/>
  <c r="N715"/>
  <c r="W715"/>
  <c r="H716"/>
  <c r="I716"/>
  <c r="K716"/>
  <c r="N716"/>
  <c r="W716"/>
  <c r="H717"/>
  <c r="I717"/>
  <c r="K717"/>
  <c r="N717"/>
  <c r="W717"/>
  <c r="H718"/>
  <c r="I718"/>
  <c r="K718"/>
  <c r="N718"/>
  <c r="W718"/>
  <c r="H719"/>
  <c r="I719"/>
  <c r="K719"/>
  <c r="N719"/>
  <c r="W719"/>
  <c r="H720"/>
  <c r="I720"/>
  <c r="K720"/>
  <c r="N720"/>
  <c r="W720"/>
  <c r="H721"/>
  <c r="I721"/>
  <c r="K721"/>
  <c r="N721"/>
  <c r="W721"/>
  <c r="H722"/>
  <c r="I722"/>
  <c r="K722"/>
  <c r="N722"/>
  <c r="W722"/>
  <c r="H723"/>
  <c r="I723"/>
  <c r="K723"/>
  <c r="N723"/>
  <c r="W723"/>
  <c r="H724"/>
  <c r="I724"/>
  <c r="K724"/>
  <c r="N724"/>
  <c r="W724"/>
  <c r="H725"/>
  <c r="I725"/>
  <c r="K725"/>
  <c r="N725"/>
  <c r="W725"/>
  <c r="H726"/>
  <c r="I726"/>
  <c r="K726"/>
  <c r="N726"/>
  <c r="W726"/>
  <c r="H727"/>
  <c r="I727"/>
  <c r="K727"/>
  <c r="N727"/>
  <c r="W727"/>
  <c r="H728"/>
  <c r="I728"/>
  <c r="K728"/>
  <c r="N728"/>
  <c r="W728"/>
  <c r="H729"/>
  <c r="I729"/>
  <c r="K729"/>
  <c r="N729"/>
  <c r="W729"/>
  <c r="H730"/>
  <c r="I730"/>
  <c r="K730"/>
  <c r="N730"/>
  <c r="W730"/>
  <c r="H731"/>
  <c r="I731"/>
  <c r="K731"/>
  <c r="N731"/>
  <c r="W731"/>
  <c r="H732"/>
  <c r="I732"/>
  <c r="K732"/>
  <c r="N732"/>
  <c r="W732"/>
  <c r="H733"/>
  <c r="I733"/>
  <c r="K733"/>
  <c r="N733"/>
  <c r="W733"/>
  <c r="H734"/>
  <c r="I734"/>
  <c r="K734"/>
  <c r="N734"/>
  <c r="W734"/>
  <c r="H735"/>
  <c r="I735"/>
  <c r="K735"/>
  <c r="N735"/>
  <c r="W735"/>
  <c r="H736"/>
  <c r="I736"/>
  <c r="K736"/>
  <c r="N736"/>
  <c r="W736"/>
  <c r="H737"/>
  <c r="I737"/>
  <c r="K737"/>
  <c r="N737"/>
  <c r="W737"/>
  <c r="H738"/>
  <c r="I738"/>
  <c r="K738"/>
  <c r="N738"/>
  <c r="W738"/>
  <c r="H739"/>
  <c r="I739"/>
  <c r="K739"/>
  <c r="N739"/>
  <c r="W739"/>
  <c r="H740"/>
  <c r="I740"/>
  <c r="K740"/>
  <c r="N740"/>
  <c r="W740"/>
  <c r="H741"/>
  <c r="I741"/>
  <c r="K741"/>
  <c r="N741"/>
  <c r="W741"/>
  <c r="H742"/>
  <c r="I742"/>
  <c r="K742"/>
  <c r="N742"/>
  <c r="W742"/>
  <c r="H743"/>
  <c r="I743"/>
  <c r="K743"/>
  <c r="N743"/>
  <c r="W743"/>
  <c r="H744"/>
  <c r="I744"/>
  <c r="K744"/>
  <c r="N744"/>
  <c r="W744"/>
  <c r="H745"/>
  <c r="I745"/>
  <c r="K745"/>
  <c r="N745"/>
  <c r="W745"/>
  <c r="H746"/>
  <c r="I746"/>
  <c r="K746"/>
  <c r="N746"/>
  <c r="W746"/>
  <c r="H747"/>
  <c r="I747"/>
  <c r="K747"/>
  <c r="N747"/>
  <c r="W747"/>
  <c r="H748"/>
  <c r="I748"/>
  <c r="K748"/>
  <c r="N748"/>
  <c r="W748"/>
  <c r="H749"/>
  <c r="I749"/>
  <c r="K749"/>
  <c r="N749"/>
  <c r="W749"/>
  <c r="H750"/>
  <c r="I750"/>
  <c r="K750"/>
  <c r="N750"/>
  <c r="W750"/>
  <c r="H751"/>
  <c r="I751"/>
  <c r="K751"/>
  <c r="N751"/>
  <c r="W751"/>
  <c r="H752"/>
  <c r="I752"/>
  <c r="K752"/>
  <c r="N752"/>
  <c r="W752"/>
  <c r="H753"/>
  <c r="I753"/>
  <c r="K753"/>
  <c r="N753"/>
  <c r="W753"/>
  <c r="H754"/>
  <c r="I754"/>
  <c r="K754"/>
  <c r="N754"/>
  <c r="W754"/>
  <c r="H755"/>
  <c r="I755"/>
  <c r="K755"/>
  <c r="N755"/>
  <c r="W755"/>
  <c r="H756"/>
  <c r="I756"/>
  <c r="K756"/>
  <c r="N756"/>
  <c r="W756"/>
  <c r="H757"/>
  <c r="I757"/>
  <c r="K757"/>
  <c r="N757"/>
  <c r="W757"/>
  <c r="H758"/>
  <c r="I758"/>
  <c r="K758"/>
  <c r="N758"/>
  <c r="W758"/>
  <c r="H759"/>
  <c r="I759"/>
  <c r="K759"/>
  <c r="N759"/>
  <c r="W759"/>
  <c r="H760"/>
  <c r="I760"/>
  <c r="K760"/>
  <c r="N760"/>
  <c r="W760"/>
  <c r="H761"/>
  <c r="I761"/>
  <c r="K761"/>
  <c r="N761"/>
  <c r="W761"/>
  <c r="H762"/>
  <c r="I762"/>
  <c r="K762"/>
  <c r="N762"/>
  <c r="W762"/>
  <c r="H763"/>
  <c r="I763"/>
  <c r="K763"/>
  <c r="N763"/>
  <c r="W763"/>
  <c r="H764"/>
  <c r="I764"/>
  <c r="K764"/>
  <c r="N764"/>
  <c r="W764"/>
  <c r="H765"/>
  <c r="I765"/>
  <c r="K765"/>
  <c r="N765"/>
  <c r="W765"/>
  <c r="H766"/>
  <c r="I766"/>
  <c r="K766"/>
  <c r="N766"/>
  <c r="W766"/>
  <c r="H767"/>
  <c r="I767"/>
  <c r="K767"/>
  <c r="N767"/>
  <c r="W767"/>
  <c r="H768"/>
  <c r="I768"/>
  <c r="K768"/>
  <c r="N768"/>
  <c r="W768"/>
  <c r="H769"/>
  <c r="I769"/>
  <c r="K769"/>
  <c r="N769"/>
  <c r="W769"/>
  <c r="H770"/>
  <c r="I770"/>
  <c r="K770"/>
  <c r="N770"/>
  <c r="W770"/>
  <c r="H771"/>
  <c r="I771"/>
  <c r="K771"/>
  <c r="N771"/>
  <c r="W771"/>
  <c r="H772"/>
  <c r="I772"/>
  <c r="K772"/>
  <c r="N772"/>
  <c r="W772"/>
  <c r="H773"/>
  <c r="I773"/>
  <c r="K773"/>
  <c r="N773"/>
  <c r="W773"/>
  <c r="H774"/>
  <c r="I774"/>
  <c r="K774"/>
  <c r="N774"/>
  <c r="W774"/>
  <c r="H775"/>
  <c r="I775"/>
  <c r="K775"/>
  <c r="N775"/>
  <c r="W775"/>
  <c r="H776"/>
  <c r="I776"/>
  <c r="K776"/>
  <c r="N776"/>
  <c r="W776"/>
  <c r="H777"/>
  <c r="I777"/>
  <c r="K777"/>
  <c r="N777"/>
  <c r="W777"/>
  <c r="H778"/>
  <c r="I778"/>
  <c r="K778"/>
  <c r="N778"/>
  <c r="W778"/>
  <c r="H779"/>
  <c r="I779"/>
  <c r="K779"/>
  <c r="N779"/>
  <c r="W779"/>
  <c r="H780"/>
  <c r="I780"/>
  <c r="K780"/>
  <c r="N780"/>
  <c r="W780"/>
  <c r="H781"/>
  <c r="I781"/>
  <c r="K781"/>
  <c r="N781"/>
  <c r="W781"/>
  <c r="H782"/>
  <c r="I782"/>
  <c r="K782"/>
  <c r="N782"/>
  <c r="W782"/>
  <c r="H783"/>
  <c r="I783"/>
  <c r="K783"/>
  <c r="N783"/>
  <c r="W783"/>
  <c r="H784"/>
  <c r="I784"/>
  <c r="K784"/>
  <c r="N784"/>
  <c r="W784"/>
  <c r="H785"/>
  <c r="I785"/>
  <c r="K785"/>
  <c r="N785"/>
  <c r="W785"/>
  <c r="H786"/>
  <c r="I786"/>
  <c r="K786"/>
  <c r="N786"/>
  <c r="W786"/>
  <c r="H787"/>
  <c r="I787"/>
  <c r="K787"/>
  <c r="N787"/>
  <c r="W787"/>
  <c r="H788"/>
  <c r="I788"/>
  <c r="K788"/>
  <c r="N788"/>
  <c r="W788"/>
  <c r="H789"/>
  <c r="I789"/>
  <c r="K789"/>
  <c r="N789"/>
  <c r="W789"/>
  <c r="H790"/>
  <c r="I790"/>
  <c r="K790"/>
  <c r="N790"/>
  <c r="W790"/>
  <c r="H791"/>
  <c r="I791"/>
  <c r="K791"/>
  <c r="N791"/>
  <c r="W791"/>
  <c r="H792"/>
  <c r="I792"/>
  <c r="K792"/>
  <c r="N792"/>
  <c r="W792"/>
  <c r="H793"/>
  <c r="I793"/>
  <c r="K793"/>
  <c r="N793"/>
  <c r="W793"/>
  <c r="H794"/>
  <c r="I794"/>
  <c r="K794"/>
  <c r="N794"/>
  <c r="W794"/>
  <c r="H795"/>
  <c r="I795"/>
  <c r="K795"/>
  <c r="N795"/>
  <c r="W795"/>
  <c r="H796"/>
  <c r="I796"/>
  <c r="K796"/>
  <c r="N796"/>
  <c r="W796"/>
  <c r="H797"/>
  <c r="I797"/>
  <c r="K797"/>
  <c r="N797"/>
  <c r="W797"/>
  <c r="H798"/>
  <c r="I798"/>
  <c r="K798"/>
  <c r="N798"/>
  <c r="W798"/>
  <c r="H799"/>
  <c r="I799"/>
  <c r="K799"/>
  <c r="N799"/>
  <c r="W799"/>
  <c r="H800"/>
  <c r="I800"/>
  <c r="K800"/>
  <c r="N800"/>
  <c r="W800"/>
  <c r="H801"/>
  <c r="I801"/>
  <c r="K801"/>
  <c r="N801"/>
  <c r="W801"/>
  <c r="H802"/>
  <c r="I802"/>
  <c r="K802"/>
  <c r="N802"/>
  <c r="W802"/>
  <c r="H803"/>
  <c r="I803"/>
  <c r="K803"/>
  <c r="N803"/>
  <c r="W803"/>
  <c r="H804"/>
  <c r="I804"/>
  <c r="K804"/>
  <c r="N804"/>
  <c r="W804"/>
  <c r="H805"/>
  <c r="I805"/>
  <c r="K805"/>
  <c r="N805"/>
  <c r="W805"/>
  <c r="H806"/>
  <c r="I806"/>
  <c r="K806"/>
  <c r="N806"/>
  <c r="W806"/>
  <c r="H807"/>
  <c r="I807"/>
  <c r="K807"/>
  <c r="N807"/>
  <c r="W807"/>
  <c r="H808"/>
  <c r="I808"/>
  <c r="K808"/>
  <c r="N808"/>
  <c r="W808"/>
  <c r="H809"/>
  <c r="I809"/>
  <c r="K809"/>
  <c r="N809"/>
  <c r="W809"/>
  <c r="H810"/>
  <c r="I810"/>
  <c r="K810"/>
  <c r="N810"/>
  <c r="W810"/>
  <c r="H811"/>
  <c r="I811"/>
  <c r="K811"/>
  <c r="N811"/>
  <c r="W811"/>
  <c r="H812"/>
  <c r="I812"/>
  <c r="K812"/>
  <c r="N812"/>
  <c r="W812"/>
  <c r="H813"/>
  <c r="I813"/>
  <c r="K813"/>
  <c r="N813"/>
  <c r="W813"/>
  <c r="H814"/>
  <c r="I814"/>
  <c r="K814"/>
  <c r="N814"/>
  <c r="W814"/>
  <c r="H815"/>
  <c r="I815"/>
  <c r="K815"/>
  <c r="N815"/>
  <c r="W815"/>
  <c r="H816"/>
  <c r="I816"/>
  <c r="K816"/>
  <c r="N816"/>
  <c r="W816"/>
  <c r="H817"/>
  <c r="I817"/>
  <c r="K817"/>
  <c r="N817"/>
  <c r="W817"/>
  <c r="H818"/>
  <c r="I818"/>
  <c r="K818"/>
  <c r="N818"/>
  <c r="W818"/>
  <c r="H819"/>
  <c r="I819"/>
  <c r="K819"/>
  <c r="N819"/>
  <c r="W819"/>
  <c r="H820"/>
  <c r="I820"/>
  <c r="K820"/>
  <c r="N820"/>
  <c r="W820"/>
  <c r="H821"/>
  <c r="I821"/>
  <c r="K821"/>
  <c r="N821"/>
  <c r="W821"/>
  <c r="H822"/>
  <c r="I822"/>
  <c r="K822"/>
  <c r="N822"/>
  <c r="W822"/>
  <c r="H823"/>
  <c r="I823"/>
  <c r="K823"/>
  <c r="N823"/>
  <c r="W823"/>
  <c r="H824"/>
  <c r="I824"/>
  <c r="K824"/>
  <c r="N824"/>
  <c r="W824"/>
  <c r="H825"/>
  <c r="I825"/>
  <c r="K825"/>
  <c r="N825"/>
  <c r="W825"/>
  <c r="H826"/>
  <c r="I826"/>
  <c r="K826"/>
  <c r="N826"/>
  <c r="W826"/>
  <c r="H827"/>
  <c r="I827"/>
  <c r="K827"/>
  <c r="N827"/>
  <c r="W827"/>
  <c r="H828"/>
  <c r="I828"/>
  <c r="K828"/>
  <c r="N828"/>
  <c r="W828"/>
  <c r="H829"/>
  <c r="I829"/>
  <c r="K829"/>
  <c r="N829"/>
  <c r="W829"/>
  <c r="H830"/>
  <c r="I830"/>
  <c r="K830"/>
  <c r="N830"/>
  <c r="W830"/>
  <c r="H831"/>
  <c r="I831"/>
  <c r="K831"/>
  <c r="N831"/>
  <c r="W831"/>
  <c r="H832"/>
  <c r="I832"/>
  <c r="K832"/>
  <c r="N832"/>
  <c r="W832"/>
  <c r="H833"/>
  <c r="I833"/>
  <c r="K833"/>
  <c r="N833"/>
  <c r="W833"/>
  <c r="H834"/>
  <c r="I834"/>
  <c r="K834"/>
  <c r="N834"/>
  <c r="W834"/>
  <c r="H835"/>
  <c r="I835"/>
  <c r="K835"/>
  <c r="N835"/>
  <c r="W835"/>
  <c r="H836"/>
  <c r="I836"/>
  <c r="K836"/>
  <c r="N836"/>
  <c r="W836"/>
  <c r="H837"/>
  <c r="I837"/>
  <c r="K837"/>
  <c r="N837"/>
  <c r="W837"/>
  <c r="H838"/>
  <c r="I838"/>
  <c r="K838"/>
  <c r="N838"/>
  <c r="W838"/>
  <c r="H839"/>
  <c r="I839"/>
  <c r="K839"/>
  <c r="N839"/>
  <c r="W839"/>
  <c r="H840"/>
  <c r="I840"/>
  <c r="K840"/>
  <c r="N840"/>
  <c r="W840"/>
  <c r="H841"/>
  <c r="I841"/>
  <c r="K841"/>
  <c r="N841"/>
  <c r="W841"/>
  <c r="H842"/>
  <c r="I842"/>
  <c r="K842"/>
  <c r="N842"/>
  <c r="W842"/>
  <c r="H843"/>
  <c r="I843"/>
  <c r="K843"/>
  <c r="N843"/>
  <c r="W843"/>
  <c r="H844"/>
  <c r="I844"/>
  <c r="K844"/>
  <c r="N844"/>
  <c r="W844"/>
  <c r="H845"/>
  <c r="I845"/>
  <c r="K845"/>
  <c r="N845"/>
  <c r="W845"/>
  <c r="H846"/>
  <c r="I846"/>
  <c r="K846"/>
  <c r="N846"/>
  <c r="W846"/>
  <c r="H847"/>
  <c r="I847"/>
  <c r="K847"/>
  <c r="N847"/>
  <c r="W847"/>
  <c r="H848"/>
  <c r="I848"/>
  <c r="K848"/>
  <c r="N848"/>
  <c r="W848"/>
  <c r="H849"/>
  <c r="I849"/>
  <c r="K849"/>
  <c r="N849"/>
  <c r="W849"/>
  <c r="H850"/>
  <c r="I850"/>
  <c r="K850"/>
  <c r="N850"/>
  <c r="W850"/>
  <c r="H851"/>
  <c r="I851"/>
  <c r="K851"/>
  <c r="N851"/>
  <c r="W851"/>
  <c r="H852"/>
  <c r="I852"/>
  <c r="K852"/>
  <c r="N852"/>
  <c r="W852"/>
  <c r="H853"/>
  <c r="I853"/>
  <c r="K853"/>
  <c r="N853"/>
  <c r="W853"/>
  <c r="H854"/>
  <c r="I854"/>
  <c r="K854"/>
  <c r="N854"/>
  <c r="W854"/>
  <c r="H855"/>
  <c r="I855"/>
  <c r="K855"/>
  <c r="N855"/>
  <c r="W855"/>
  <c r="H856"/>
  <c r="I856"/>
  <c r="K856"/>
  <c r="N856"/>
  <c r="W856"/>
  <c r="H857"/>
  <c r="I857"/>
  <c r="K857"/>
  <c r="N857"/>
  <c r="W857"/>
  <c r="H858"/>
  <c r="I858"/>
  <c r="K858"/>
  <c r="N858"/>
  <c r="W858"/>
  <c r="H859"/>
  <c r="I859"/>
  <c r="K859"/>
  <c r="N859"/>
  <c r="W859"/>
  <c r="H860"/>
  <c r="I860"/>
  <c r="K860"/>
  <c r="N860"/>
  <c r="W860"/>
  <c r="H861"/>
  <c r="I861"/>
  <c r="K861"/>
  <c r="N861"/>
  <c r="W861"/>
  <c r="H862"/>
  <c r="I862"/>
  <c r="K862"/>
  <c r="N862"/>
  <c r="W862"/>
  <c r="H863"/>
  <c r="I863"/>
  <c r="K863"/>
  <c r="N863"/>
  <c r="W863"/>
  <c r="H864"/>
  <c r="I864"/>
  <c r="K864"/>
  <c r="N864"/>
  <c r="W864"/>
  <c r="H865"/>
  <c r="I865"/>
  <c r="K865"/>
  <c r="N865"/>
  <c r="W865"/>
  <c r="H866"/>
  <c r="I866"/>
  <c r="K866"/>
  <c r="N866"/>
  <c r="W866"/>
  <c r="H867"/>
  <c r="I867"/>
  <c r="K867"/>
  <c r="N867"/>
  <c r="W867"/>
  <c r="H868"/>
  <c r="I868"/>
  <c r="K868"/>
  <c r="N868"/>
  <c r="W868"/>
  <c r="H869"/>
  <c r="I869"/>
  <c r="K869"/>
  <c r="N869"/>
  <c r="W869"/>
  <c r="H870"/>
  <c r="I870"/>
  <c r="K870"/>
  <c r="N870"/>
  <c r="W870"/>
  <c r="H871"/>
  <c r="I871"/>
  <c r="K871"/>
  <c r="N871"/>
  <c r="W871"/>
  <c r="H872"/>
  <c r="I872"/>
  <c r="K872"/>
  <c r="N872"/>
  <c r="W872"/>
  <c r="H873"/>
  <c r="I873"/>
  <c r="K873"/>
  <c r="N873"/>
  <c r="W873"/>
  <c r="H874"/>
  <c r="I874"/>
  <c r="K874"/>
  <c r="N874"/>
  <c r="W874"/>
  <c r="H875"/>
  <c r="I875"/>
  <c r="K875"/>
  <c r="N875"/>
  <c r="W875"/>
  <c r="H876"/>
  <c r="I876"/>
  <c r="K876"/>
  <c r="N876"/>
  <c r="W876"/>
  <c r="H877"/>
  <c r="I877"/>
  <c r="K877"/>
  <c r="N877"/>
  <c r="W877"/>
  <c r="H878"/>
  <c r="I878"/>
  <c r="K878"/>
  <c r="N878"/>
  <c r="W878"/>
  <c r="H879"/>
  <c r="I879"/>
  <c r="K879"/>
  <c r="N879"/>
  <c r="W879"/>
  <c r="H880"/>
  <c r="I880"/>
  <c r="K880"/>
  <c r="N880"/>
  <c r="W880"/>
  <c r="H881"/>
  <c r="I881"/>
  <c r="K881"/>
  <c r="N881"/>
  <c r="W881"/>
  <c r="H882"/>
  <c r="I882"/>
  <c r="K882"/>
  <c r="N882"/>
  <c r="W882"/>
  <c r="H883"/>
  <c r="I883"/>
  <c r="K883"/>
  <c r="N883"/>
  <c r="W883"/>
  <c r="H884"/>
  <c r="I884"/>
  <c r="K884"/>
  <c r="N884"/>
  <c r="W884"/>
  <c r="H885"/>
  <c r="I885"/>
  <c r="K885"/>
  <c r="N885"/>
  <c r="W885"/>
  <c r="H886"/>
  <c r="I886"/>
  <c r="K886"/>
  <c r="N886"/>
  <c r="W886"/>
  <c r="H887"/>
  <c r="I887"/>
  <c r="K887"/>
  <c r="N887"/>
  <c r="W887"/>
  <c r="H888"/>
  <c r="I888"/>
  <c r="K888"/>
  <c r="N888"/>
  <c r="W888"/>
  <c r="H889"/>
  <c r="I889"/>
  <c r="K889"/>
  <c r="N889"/>
  <c r="W889"/>
  <c r="H890"/>
  <c r="I890"/>
  <c r="K890"/>
  <c r="N890"/>
  <c r="W890"/>
  <c r="H891"/>
  <c r="I891"/>
  <c r="K891"/>
  <c r="N891"/>
  <c r="W891"/>
  <c r="H892"/>
  <c r="I892"/>
  <c r="K892"/>
  <c r="N892"/>
  <c r="W892"/>
  <c r="H893"/>
  <c r="I893"/>
  <c r="K893"/>
  <c r="N893"/>
  <c r="W893"/>
  <c r="H894"/>
  <c r="I894"/>
  <c r="K894"/>
  <c r="N894"/>
  <c r="W894"/>
  <c r="H895"/>
  <c r="I895"/>
  <c r="K895"/>
  <c r="N895"/>
  <c r="W895"/>
  <c r="H896"/>
  <c r="I896"/>
  <c r="K896"/>
  <c r="N896"/>
  <c r="W896"/>
  <c r="H897"/>
  <c r="I897"/>
  <c r="K897"/>
  <c r="N897"/>
  <c r="W897"/>
  <c r="H898"/>
  <c r="I898"/>
  <c r="K898"/>
  <c r="N898"/>
  <c r="W898"/>
  <c r="H899"/>
  <c r="I899"/>
  <c r="K899"/>
  <c r="N899"/>
  <c r="W899"/>
  <c r="H900"/>
  <c r="I900"/>
  <c r="K900"/>
  <c r="N900"/>
  <c r="W900"/>
  <c r="H901"/>
  <c r="I901"/>
  <c r="K901"/>
  <c r="N901"/>
  <c r="W901"/>
  <c r="H902"/>
  <c r="I902"/>
  <c r="K902"/>
  <c r="N902"/>
  <c r="W902"/>
  <c r="H903"/>
  <c r="I903"/>
  <c r="K903"/>
  <c r="N903"/>
  <c r="W903"/>
  <c r="H904"/>
  <c r="I904"/>
  <c r="K904"/>
  <c r="N904"/>
  <c r="W904"/>
  <c r="H905"/>
  <c r="I905"/>
  <c r="K905"/>
  <c r="N905"/>
  <c r="W905"/>
  <c r="H906"/>
  <c r="I906"/>
  <c r="K906"/>
  <c r="N906"/>
  <c r="W906"/>
  <c r="H907"/>
  <c r="I907"/>
  <c r="K907"/>
  <c r="N907"/>
  <c r="W907"/>
  <c r="H908"/>
  <c r="I908"/>
  <c r="K908"/>
  <c r="N908"/>
  <c r="W908"/>
  <c r="H909"/>
  <c r="I909"/>
  <c r="K909"/>
  <c r="N909"/>
  <c r="W909"/>
  <c r="H910"/>
  <c r="I910"/>
  <c r="K910"/>
  <c r="N910"/>
  <c r="W910"/>
  <c r="H911"/>
  <c r="I911"/>
  <c r="K911"/>
  <c r="N911"/>
  <c r="W911"/>
  <c r="H912"/>
  <c r="I912"/>
  <c r="K912"/>
  <c r="N912"/>
  <c r="W912"/>
  <c r="H913"/>
  <c r="I913"/>
  <c r="K913"/>
  <c r="N913"/>
  <c r="W913"/>
  <c r="H914"/>
  <c r="I914"/>
  <c r="K914"/>
  <c r="N914"/>
  <c r="W914"/>
  <c r="H915"/>
  <c r="I915"/>
  <c r="K915"/>
  <c r="N915"/>
  <c r="W915"/>
  <c r="H916"/>
  <c r="I916"/>
  <c r="K916"/>
  <c r="N916"/>
  <c r="W916"/>
  <c r="H917"/>
  <c r="I917"/>
  <c r="K917"/>
  <c r="N917"/>
  <c r="W917"/>
  <c r="H918"/>
  <c r="I918"/>
  <c r="K918"/>
  <c r="N918"/>
  <c r="W918"/>
  <c r="H919"/>
  <c r="I919"/>
  <c r="K919"/>
  <c r="N919"/>
  <c r="W919"/>
  <c r="H920"/>
  <c r="I920"/>
  <c r="K920"/>
  <c r="N920"/>
  <c r="W920"/>
  <c r="H921"/>
  <c r="I921"/>
  <c r="K921"/>
  <c r="N921"/>
  <c r="W921"/>
  <c r="H922"/>
  <c r="I922"/>
  <c r="K922"/>
  <c r="N922"/>
  <c r="W922"/>
  <c r="H923"/>
  <c r="I923"/>
  <c r="K923"/>
  <c r="N923"/>
  <c r="W923"/>
  <c r="H924"/>
  <c r="I924"/>
  <c r="K924"/>
  <c r="N924"/>
  <c r="W924"/>
  <c r="H925"/>
  <c r="I925"/>
  <c r="K925"/>
  <c r="N925"/>
  <c r="W925"/>
  <c r="H926"/>
  <c r="I926"/>
  <c r="K926"/>
  <c r="N926"/>
  <c r="W926"/>
  <c r="H927"/>
  <c r="I927"/>
  <c r="K927"/>
  <c r="N927"/>
  <c r="W927"/>
  <c r="H928"/>
  <c r="I928"/>
  <c r="K928"/>
  <c r="N928"/>
  <c r="W928"/>
  <c r="H929"/>
  <c r="I929"/>
  <c r="K929"/>
  <c r="N929"/>
  <c r="W929"/>
  <c r="H930"/>
  <c r="I930"/>
  <c r="K930"/>
  <c r="N930"/>
  <c r="W930"/>
  <c r="H931"/>
  <c r="I931"/>
  <c r="K931"/>
  <c r="N931"/>
  <c r="W931"/>
  <c r="H932"/>
  <c r="I932"/>
  <c r="K932"/>
  <c r="N932"/>
  <c r="W932"/>
  <c r="H933"/>
  <c r="I933"/>
  <c r="K933"/>
  <c r="N933"/>
  <c r="W933"/>
  <c r="H934"/>
  <c r="I934"/>
  <c r="K934"/>
  <c r="N934"/>
  <c r="W934"/>
  <c r="H935"/>
  <c r="I935"/>
  <c r="K935"/>
  <c r="N935"/>
  <c r="W935"/>
  <c r="H936"/>
  <c r="I936"/>
  <c r="K936"/>
  <c r="N936"/>
  <c r="W936"/>
  <c r="H937"/>
  <c r="I937"/>
  <c r="K937"/>
  <c r="N937"/>
  <c r="W937"/>
  <c r="H938"/>
  <c r="I938"/>
  <c r="K938"/>
  <c r="N938"/>
  <c r="W938"/>
  <c r="H939"/>
  <c r="I939"/>
  <c r="K939"/>
  <c r="N939"/>
  <c r="W939"/>
  <c r="H940"/>
  <c r="I940"/>
  <c r="K940"/>
  <c r="N940"/>
  <c r="W940"/>
  <c r="H941"/>
  <c r="I941"/>
  <c r="K941"/>
  <c r="N941"/>
  <c r="W941"/>
  <c r="H942"/>
  <c r="I942"/>
  <c r="K942"/>
  <c r="N942"/>
  <c r="W942"/>
  <c r="H943"/>
  <c r="I943"/>
  <c r="K943"/>
  <c r="N943"/>
  <c r="W943"/>
  <c r="H944"/>
  <c r="I944"/>
  <c r="K944"/>
  <c r="N944"/>
  <c r="W944"/>
  <c r="H945"/>
  <c r="I945"/>
  <c r="K945"/>
  <c r="N945"/>
  <c r="W945"/>
  <c r="H946"/>
  <c r="I946"/>
  <c r="K946"/>
  <c r="N946"/>
  <c r="W946"/>
  <c r="H947"/>
  <c r="I947"/>
  <c r="K947"/>
  <c r="N947"/>
  <c r="W947"/>
  <c r="H948"/>
  <c r="I948"/>
  <c r="K948"/>
  <c r="N948"/>
  <c r="W948"/>
  <c r="H949"/>
  <c r="I949"/>
  <c r="K949"/>
  <c r="N949"/>
  <c r="W949"/>
  <c r="H950"/>
  <c r="I950"/>
  <c r="K950"/>
  <c r="N950"/>
  <c r="W950"/>
  <c r="H951"/>
  <c r="I951"/>
  <c r="K951"/>
  <c r="N951"/>
  <c r="W951"/>
  <c r="H952"/>
  <c r="I952"/>
  <c r="K952"/>
  <c r="N952"/>
  <c r="W952"/>
  <c r="H953"/>
  <c r="I953"/>
  <c r="K953"/>
  <c r="N953"/>
  <c r="W953"/>
  <c r="H954"/>
  <c r="I954"/>
  <c r="K954"/>
  <c r="N954"/>
  <c r="W954"/>
  <c r="H955"/>
  <c r="I955"/>
  <c r="K955"/>
  <c r="N955"/>
  <c r="W955"/>
  <c r="H956"/>
  <c r="I956"/>
  <c r="K956"/>
  <c r="N956"/>
  <c r="W956"/>
  <c r="H957"/>
  <c r="I957"/>
  <c r="K957"/>
  <c r="N957"/>
  <c r="W957"/>
  <c r="H958"/>
  <c r="I958"/>
  <c r="K958"/>
  <c r="N958"/>
  <c r="W958"/>
  <c r="H959"/>
  <c r="I959"/>
  <c r="K959"/>
  <c r="N959"/>
  <c r="W959"/>
  <c r="H960"/>
  <c r="I960"/>
  <c r="K960"/>
  <c r="N960"/>
  <c r="W960"/>
  <c r="H961"/>
  <c r="I961"/>
  <c r="K961"/>
  <c r="N961"/>
  <c r="W961"/>
  <c r="H962"/>
  <c r="I962"/>
  <c r="K962"/>
  <c r="N962"/>
  <c r="W962"/>
  <c r="H963"/>
  <c r="I963"/>
  <c r="K963"/>
  <c r="N963"/>
  <c r="W963"/>
  <c r="H964"/>
  <c r="I964"/>
  <c r="K964"/>
  <c r="N964"/>
  <c r="W964"/>
  <c r="H965"/>
  <c r="I965"/>
  <c r="K965"/>
  <c r="N965"/>
  <c r="W965"/>
  <c r="H966"/>
  <c r="I966"/>
  <c r="K966"/>
  <c r="N966"/>
  <c r="W966"/>
  <c r="H967"/>
  <c r="I967"/>
  <c r="K967"/>
  <c r="N967"/>
  <c r="W967"/>
  <c r="H968"/>
  <c r="I968"/>
  <c r="K968"/>
  <c r="N968"/>
  <c r="W968"/>
  <c r="H969"/>
  <c r="I969"/>
  <c r="K969"/>
  <c r="N969"/>
  <c r="W969"/>
  <c r="H970"/>
  <c r="I970"/>
  <c r="K970"/>
  <c r="N970"/>
  <c r="W970"/>
  <c r="H971"/>
  <c r="I971"/>
  <c r="K971"/>
  <c r="N971"/>
  <c r="W971"/>
  <c r="H972"/>
  <c r="I972"/>
  <c r="K972"/>
  <c r="N972"/>
  <c r="W972"/>
  <c r="H973"/>
  <c r="I973"/>
  <c r="K973"/>
  <c r="N973"/>
  <c r="W973"/>
  <c r="H974"/>
  <c r="I974"/>
  <c r="K974"/>
  <c r="N974"/>
  <c r="W974"/>
  <c r="H975"/>
  <c r="I975"/>
  <c r="K975"/>
  <c r="N975"/>
  <c r="W975"/>
  <c r="H976"/>
  <c r="I976"/>
  <c r="K976"/>
  <c r="N976"/>
  <c r="W976"/>
  <c r="H977"/>
  <c r="I977"/>
  <c r="K977"/>
  <c r="N977"/>
  <c r="W977"/>
  <c r="H978"/>
  <c r="I978"/>
  <c r="K978"/>
  <c r="N978"/>
  <c r="W978"/>
  <c r="H979"/>
  <c r="I979"/>
  <c r="K979"/>
  <c r="N979"/>
  <c r="W979"/>
  <c r="H980"/>
  <c r="I980"/>
  <c r="K980"/>
  <c r="N980"/>
  <c r="W980"/>
  <c r="H981"/>
  <c r="I981"/>
  <c r="K981"/>
  <c r="N981"/>
  <c r="W981"/>
  <c r="H982"/>
  <c r="I982"/>
  <c r="K982"/>
  <c r="N982"/>
  <c r="W982"/>
  <c r="H983"/>
  <c r="I983"/>
  <c r="K983"/>
  <c r="N983"/>
  <c r="W983"/>
  <c r="H984"/>
  <c r="I984"/>
  <c r="K984"/>
  <c r="N984"/>
  <c r="W984"/>
  <c r="H985"/>
  <c r="I985"/>
  <c r="K985"/>
  <c r="N985"/>
  <c r="W985"/>
  <c r="H986"/>
  <c r="I986"/>
  <c r="K986"/>
  <c r="N986"/>
  <c r="W986"/>
  <c r="H987"/>
  <c r="I987"/>
  <c r="K987"/>
  <c r="N987"/>
  <c r="W987"/>
  <c r="H988"/>
  <c r="I988"/>
  <c r="K988"/>
  <c r="N988"/>
  <c r="W988"/>
  <c r="H989"/>
  <c r="I989"/>
  <c r="K989"/>
  <c r="N989"/>
  <c r="W989"/>
  <c r="H990"/>
  <c r="I990"/>
  <c r="K990"/>
  <c r="N990"/>
  <c r="W990"/>
  <c r="H991"/>
  <c r="I991"/>
  <c r="K991"/>
  <c r="N991"/>
  <c r="W991"/>
  <c r="H992"/>
  <c r="I992"/>
  <c r="K992"/>
  <c r="N992"/>
  <c r="W992"/>
  <c r="H993"/>
  <c r="I993"/>
  <c r="K993"/>
  <c r="N993"/>
  <c r="W993"/>
  <c r="H994"/>
  <c r="I994"/>
  <c r="K994"/>
  <c r="N994"/>
  <c r="W994"/>
  <c r="H995"/>
  <c r="I995"/>
  <c r="K995"/>
  <c r="N995"/>
  <c r="W995"/>
  <c r="H996"/>
  <c r="I996"/>
  <c r="K996"/>
  <c r="N996"/>
  <c r="W996"/>
  <c r="H997"/>
  <c r="I997"/>
  <c r="K997"/>
  <c r="N997"/>
  <c r="W997"/>
  <c r="H998"/>
  <c r="I998"/>
  <c r="K998"/>
  <c r="N998"/>
  <c r="W998"/>
  <c r="H999"/>
  <c r="I999"/>
  <c r="K999"/>
  <c r="N999"/>
  <c r="W999"/>
  <c r="H1000"/>
  <c r="I1000"/>
  <c r="K1000"/>
  <c r="N1000"/>
  <c r="W1000"/>
  <c r="H1001"/>
  <c r="I1001"/>
  <c r="K1001"/>
  <c r="N1001"/>
  <c r="W1001"/>
  <c r="H1002"/>
  <c r="I1002"/>
  <c r="K1002"/>
  <c r="N1002"/>
  <c r="W1002"/>
  <c r="H1003"/>
  <c r="I1003"/>
  <c r="K1003"/>
  <c r="N1003"/>
  <c r="W1003"/>
  <c r="H1004"/>
  <c r="I1004"/>
  <c r="K1004"/>
  <c r="N1004"/>
  <c r="W1004"/>
  <c r="H1005"/>
  <c r="I1005"/>
  <c r="K1005"/>
  <c r="N1005"/>
  <c r="W1005"/>
  <c r="H1006"/>
  <c r="I1006"/>
  <c r="K1006"/>
  <c r="N1006"/>
  <c r="W1006"/>
  <c r="H1007"/>
  <c r="I1007"/>
  <c r="K1007"/>
  <c r="N1007"/>
  <c r="W1007"/>
  <c r="H1008"/>
  <c r="I1008"/>
  <c r="K1008"/>
  <c r="N1008"/>
  <c r="W1008"/>
  <c r="H1009"/>
  <c r="I1009"/>
  <c r="K1009"/>
  <c r="N1009"/>
  <c r="W1009"/>
  <c r="H1010"/>
  <c r="I1010"/>
  <c r="K1010"/>
  <c r="N1010"/>
  <c r="W1010"/>
  <c r="H1011"/>
  <c r="I1011"/>
  <c r="K1011"/>
  <c r="N1011"/>
  <c r="W1011"/>
  <c r="H1012"/>
  <c r="I1012"/>
  <c r="K1012"/>
  <c r="N1012"/>
  <c r="W1012"/>
  <c r="H1013"/>
  <c r="I1013"/>
  <c r="K1013"/>
  <c r="N1013"/>
  <c r="W1013"/>
  <c r="H1014"/>
  <c r="I1014"/>
  <c r="K1014"/>
  <c r="N1014"/>
  <c r="W1014"/>
  <c r="H1015"/>
  <c r="I1015"/>
  <c r="K1015"/>
  <c r="N1015"/>
  <c r="W1015"/>
  <c r="H1016"/>
  <c r="I1016"/>
  <c r="K1016"/>
  <c r="N1016"/>
  <c r="W1016"/>
  <c r="H1017"/>
  <c r="I1017"/>
  <c r="K1017"/>
  <c r="N1017"/>
  <c r="W1017"/>
  <c r="H1018"/>
  <c r="I1018"/>
  <c r="K1018"/>
  <c r="N1018"/>
  <c r="W1018"/>
  <c r="H1019"/>
  <c r="I1019"/>
  <c r="K1019"/>
  <c r="N1019"/>
  <c r="W1019"/>
  <c r="H1020"/>
  <c r="I1020"/>
  <c r="K1020"/>
  <c r="N1020"/>
  <c r="W1020"/>
  <c r="H1021"/>
  <c r="I1021"/>
  <c r="K1021"/>
  <c r="N1021"/>
  <c r="W1021"/>
  <c r="H1022"/>
  <c r="I1022"/>
  <c r="K1022"/>
  <c r="N1022"/>
  <c r="W1022"/>
  <c r="H1023"/>
  <c r="I1023"/>
  <c r="K1023"/>
  <c r="N1023"/>
  <c r="W1023"/>
  <c r="H1024"/>
  <c r="I1024"/>
  <c r="K1024"/>
  <c r="N1024"/>
  <c r="W1024"/>
  <c r="H1025"/>
  <c r="I1025"/>
  <c r="K1025"/>
  <c r="N1025"/>
  <c r="W1025"/>
  <c r="H1026"/>
  <c r="I1026"/>
  <c r="K1026"/>
  <c r="N1026"/>
  <c r="W1026"/>
  <c r="H1027"/>
  <c r="I1027"/>
  <c r="K1027"/>
  <c r="N1027"/>
  <c r="W1027"/>
  <c r="H1028"/>
  <c r="I1028"/>
  <c r="K1028"/>
  <c r="N1028"/>
  <c r="W1028"/>
  <c r="H1029"/>
  <c r="I1029"/>
  <c r="K1029"/>
  <c r="N1029"/>
  <c r="W1029"/>
  <c r="H1030"/>
  <c r="I1030"/>
  <c r="K1030"/>
  <c r="N1030"/>
  <c r="W1030"/>
  <c r="H1031"/>
  <c r="I1031"/>
  <c r="K1031"/>
  <c r="N1031"/>
  <c r="W1031"/>
  <c r="H1032"/>
  <c r="I1032"/>
  <c r="K1032"/>
  <c r="N1032"/>
  <c r="W1032"/>
  <c r="H1033"/>
  <c r="I1033"/>
  <c r="K1033"/>
  <c r="N1033"/>
  <c r="W1033"/>
  <c r="H1034"/>
  <c r="I1034"/>
  <c r="K1034"/>
  <c r="N1034"/>
  <c r="W1034"/>
  <c r="H1035"/>
  <c r="I1035"/>
  <c r="K1035"/>
  <c r="N1035"/>
  <c r="W1035"/>
  <c r="H1036"/>
  <c r="I1036"/>
  <c r="K1036"/>
  <c r="N1036"/>
  <c r="W1036"/>
  <c r="H1037"/>
  <c r="I1037"/>
  <c r="K1037"/>
  <c r="N1037"/>
  <c r="W1037"/>
  <c r="H1038"/>
  <c r="I1038"/>
  <c r="K1038"/>
  <c r="N1038"/>
  <c r="W1038"/>
  <c r="H1039"/>
  <c r="I1039"/>
  <c r="K1039"/>
  <c r="N1039"/>
  <c r="W1039"/>
  <c r="H1040"/>
  <c r="I1040"/>
  <c r="K1040"/>
  <c r="N1040"/>
  <c r="W1040"/>
  <c r="H1041"/>
  <c r="I1041"/>
  <c r="K1041"/>
  <c r="N1041"/>
  <c r="W1041"/>
  <c r="H1042"/>
  <c r="I1042"/>
  <c r="K1042"/>
  <c r="N1042"/>
  <c r="W1042"/>
  <c r="H1043"/>
  <c r="I1043"/>
  <c r="K1043"/>
  <c r="N1043"/>
  <c r="W1043"/>
  <c r="H1044"/>
  <c r="I1044"/>
  <c r="K1044"/>
  <c r="N1044"/>
  <c r="W1044"/>
  <c r="H1045"/>
  <c r="I1045"/>
  <c r="K1045"/>
  <c r="N1045"/>
  <c r="W1045"/>
  <c r="H1046"/>
  <c r="I1046"/>
  <c r="K1046"/>
  <c r="N1046"/>
  <c r="W1046"/>
  <c r="H1047"/>
  <c r="I1047"/>
  <c r="K1047"/>
  <c r="N1047"/>
  <c r="W1047"/>
  <c r="H1048"/>
  <c r="I1048"/>
  <c r="K1048"/>
  <c r="N1048"/>
  <c r="W1048"/>
  <c r="H1049"/>
  <c r="I1049"/>
  <c r="K1049"/>
  <c r="N1049"/>
  <c r="W1049"/>
  <c r="H1050"/>
  <c r="I1050"/>
  <c r="K1050"/>
  <c r="N1050"/>
  <c r="W1050"/>
  <c r="H1051"/>
  <c r="I1051"/>
  <c r="K1051"/>
  <c r="N1051"/>
  <c r="W1051"/>
  <c r="H1052"/>
  <c r="I1052"/>
  <c r="K1052"/>
  <c r="N1052"/>
  <c r="W1052"/>
  <c r="H1053"/>
  <c r="I1053"/>
  <c r="K1053"/>
  <c r="N1053"/>
  <c r="W1053"/>
  <c r="H1054"/>
  <c r="I1054"/>
  <c r="K1054"/>
  <c r="N1054"/>
  <c r="W1054"/>
  <c r="H1055"/>
  <c r="I1055"/>
  <c r="K1055"/>
  <c r="N1055"/>
  <c r="W1055"/>
  <c r="H1056"/>
  <c r="I1056"/>
  <c r="K1056"/>
  <c r="N1056"/>
  <c r="W1056"/>
  <c r="H1057"/>
  <c r="I1057"/>
  <c r="K1057"/>
  <c r="N1057"/>
  <c r="W1057"/>
  <c r="H1058"/>
  <c r="I1058"/>
  <c r="K1058"/>
  <c r="N1058"/>
  <c r="W1058"/>
  <c r="H1059"/>
  <c r="I1059"/>
  <c r="K1059"/>
  <c r="N1059"/>
  <c r="W1059"/>
  <c r="H1060"/>
  <c r="I1060"/>
  <c r="K1060"/>
  <c r="N1060"/>
  <c r="W1060"/>
  <c r="H1061"/>
  <c r="I1061"/>
  <c r="K1061"/>
  <c r="N1061"/>
  <c r="W1061"/>
  <c r="H1062"/>
  <c r="I1062"/>
  <c r="K1062"/>
  <c r="N1062"/>
  <c r="W1062"/>
  <c r="H1063"/>
  <c r="I1063"/>
  <c r="K1063"/>
  <c r="N1063"/>
  <c r="W1063"/>
  <c r="H1064"/>
  <c r="I1064"/>
  <c r="K1064"/>
  <c r="N1064"/>
  <c r="W1064"/>
  <c r="H1065"/>
  <c r="I1065"/>
  <c r="K1065"/>
  <c r="N1065"/>
  <c r="W1065"/>
  <c r="H1066"/>
  <c r="I1066"/>
  <c r="K1066"/>
  <c r="N1066"/>
  <c r="W1066"/>
  <c r="H1067"/>
  <c r="I1067"/>
  <c r="K1067"/>
  <c r="N1067"/>
  <c r="W1067"/>
  <c r="H1068"/>
  <c r="I1068"/>
  <c r="K1068"/>
  <c r="N1068"/>
  <c r="W1068"/>
  <c r="H1069"/>
  <c r="I1069"/>
  <c r="K1069"/>
  <c r="N1069"/>
  <c r="W1069"/>
  <c r="H1070"/>
  <c r="I1070"/>
  <c r="K1070"/>
  <c r="N1070"/>
  <c r="W1070"/>
  <c r="H1071"/>
  <c r="I1071"/>
  <c r="K1071"/>
  <c r="N1071"/>
  <c r="W1071"/>
  <c r="H1072"/>
  <c r="I1072"/>
  <c r="K1072"/>
  <c r="N1072"/>
  <c r="W1072"/>
  <c r="H1073"/>
  <c r="I1073"/>
  <c r="K1073"/>
  <c r="N1073"/>
  <c r="W1073"/>
  <c r="H1074"/>
  <c r="I1074"/>
  <c r="K1074"/>
  <c r="N1074"/>
  <c r="W1074"/>
  <c r="H1075"/>
  <c r="I1075"/>
  <c r="K1075"/>
  <c r="N1075"/>
  <c r="W1075"/>
  <c r="H1076"/>
  <c r="I1076"/>
  <c r="K1076"/>
  <c r="N1076"/>
  <c r="W1076"/>
  <c r="H1077"/>
  <c r="I1077"/>
  <c r="K1077"/>
  <c r="N1077"/>
  <c r="W1077"/>
  <c r="H1078"/>
  <c r="I1078"/>
  <c r="K1078"/>
  <c r="N1078"/>
  <c r="W1078"/>
  <c r="H1079"/>
  <c r="I1079"/>
  <c r="K1079"/>
  <c r="N1079"/>
  <c r="W1079"/>
  <c r="H1080"/>
  <c r="I1080"/>
  <c r="K1080"/>
  <c r="N1080"/>
  <c r="W1080"/>
  <c r="H1081"/>
  <c r="I1081"/>
  <c r="K1081"/>
  <c r="N1081"/>
  <c r="W1081"/>
  <c r="H1082"/>
  <c r="I1082"/>
  <c r="K1082"/>
  <c r="N1082"/>
  <c r="W1082"/>
  <c r="H1083"/>
  <c r="I1083"/>
  <c r="K1083"/>
  <c r="N1083"/>
  <c r="W1083"/>
  <c r="H1084"/>
  <c r="I1084"/>
  <c r="K1084"/>
  <c r="N1084"/>
  <c r="W1084"/>
  <c r="H1085"/>
  <c r="I1085"/>
  <c r="K1085"/>
  <c r="N1085"/>
  <c r="W1085"/>
  <c r="H1086"/>
  <c r="I1086"/>
  <c r="K1086"/>
  <c r="N1086"/>
  <c r="W1086"/>
  <c r="H1087"/>
  <c r="I1087"/>
  <c r="K1087"/>
  <c r="N1087"/>
  <c r="W1087"/>
  <c r="H1088"/>
  <c r="I1088"/>
  <c r="K1088"/>
  <c r="N1088"/>
  <c r="W1088"/>
  <c r="H1089"/>
  <c r="I1089"/>
  <c r="K1089"/>
  <c r="N1089"/>
  <c r="W1089"/>
  <c r="H1090"/>
  <c r="I1090"/>
  <c r="K1090"/>
  <c r="N1090"/>
  <c r="W1090"/>
  <c r="H1091"/>
  <c r="I1091"/>
  <c r="K1091"/>
  <c r="N1091"/>
  <c r="W1091"/>
  <c r="H1092"/>
  <c r="I1092"/>
  <c r="K1092"/>
  <c r="N1092"/>
  <c r="W1092"/>
  <c r="H1093"/>
  <c r="I1093"/>
  <c r="K1093"/>
  <c r="N1093"/>
  <c r="W1093"/>
  <c r="H1094"/>
  <c r="I1094"/>
  <c r="K1094"/>
  <c r="N1094"/>
  <c r="W1094"/>
  <c r="H1095"/>
  <c r="I1095"/>
  <c r="K1095"/>
  <c r="N1095"/>
  <c r="W1095"/>
  <c r="H1096"/>
  <c r="I1096"/>
  <c r="K1096"/>
  <c r="N1096"/>
  <c r="W1096"/>
  <c r="H1097"/>
  <c r="I1097"/>
  <c r="K1097"/>
  <c r="N1097"/>
  <c r="W1097"/>
  <c r="H1098"/>
  <c r="I1098"/>
  <c r="K1098"/>
  <c r="N1098"/>
  <c r="W1098"/>
  <c r="H1099"/>
  <c r="I1099"/>
  <c r="K1099"/>
  <c r="N1099"/>
  <c r="W1099"/>
  <c r="H1100"/>
  <c r="I1100"/>
  <c r="K1100"/>
  <c r="N1100"/>
  <c r="W1100"/>
  <c r="H1101"/>
  <c r="I1101"/>
  <c r="K1101"/>
  <c r="N1101"/>
  <c r="W1101"/>
  <c r="H1102"/>
  <c r="I1102"/>
  <c r="K1102"/>
  <c r="N1102"/>
  <c r="W1102"/>
  <c r="H1103"/>
  <c r="I1103"/>
  <c r="K1103"/>
  <c r="N1103"/>
  <c r="W1103"/>
  <c r="H1104"/>
  <c r="I1104"/>
  <c r="K1104"/>
  <c r="N1104"/>
  <c r="W1104"/>
  <c r="H1105"/>
  <c r="I1105"/>
  <c r="K1105"/>
  <c r="N1105"/>
  <c r="W1105"/>
  <c r="H1106"/>
  <c r="I1106"/>
  <c r="K1106"/>
  <c r="N1106"/>
  <c r="W1106"/>
  <c r="H1107"/>
  <c r="I1107"/>
  <c r="K1107"/>
  <c r="N1107"/>
  <c r="W1107"/>
  <c r="H1108"/>
  <c r="I1108"/>
  <c r="K1108"/>
  <c r="N1108"/>
  <c r="W1108"/>
  <c r="H1109"/>
  <c r="I1109"/>
  <c r="K1109"/>
  <c r="N1109"/>
  <c r="W1109"/>
  <c r="H1110"/>
  <c r="I1110"/>
  <c r="K1110"/>
  <c r="N1110"/>
  <c r="W1110"/>
  <c r="H1111"/>
  <c r="I1111"/>
  <c r="K1111"/>
  <c r="N1111"/>
  <c r="W1111"/>
  <c r="H1112"/>
  <c r="I1112"/>
  <c r="K1112"/>
  <c r="N1112"/>
  <c r="W1112"/>
  <c r="H1113"/>
  <c r="I1113"/>
  <c r="K1113"/>
  <c r="N1113"/>
  <c r="W1113"/>
  <c r="H1114"/>
  <c r="I1114"/>
  <c r="K1114"/>
  <c r="N1114"/>
  <c r="W1114"/>
  <c r="H1115"/>
  <c r="I1115"/>
  <c r="K1115"/>
  <c r="N1115"/>
  <c r="W1115"/>
  <c r="H1116"/>
  <c r="I1116"/>
  <c r="K1116"/>
  <c r="N1116"/>
  <c r="W1116"/>
  <c r="H1117"/>
  <c r="I1117"/>
  <c r="K1117"/>
  <c r="N1117"/>
  <c r="W1117"/>
  <c r="H1118"/>
  <c r="I1118"/>
  <c r="K1118"/>
  <c r="N1118"/>
  <c r="W1118"/>
  <c r="H1119"/>
  <c r="I1119"/>
  <c r="K1119"/>
  <c r="N1119"/>
  <c r="W1119"/>
  <c r="H1120"/>
  <c r="I1120"/>
  <c r="K1120"/>
  <c r="N1120"/>
  <c r="W1120"/>
  <c r="H1121"/>
  <c r="I1121"/>
  <c r="K1121"/>
  <c r="N1121"/>
  <c r="W1121"/>
  <c r="H1122"/>
  <c r="I1122"/>
  <c r="K1122"/>
  <c r="N1122"/>
  <c r="W1122"/>
  <c r="H1123"/>
  <c r="I1123"/>
  <c r="K1123"/>
  <c r="N1123"/>
  <c r="W1123"/>
  <c r="H1124"/>
  <c r="I1124"/>
  <c r="K1124"/>
  <c r="N1124"/>
  <c r="W1124"/>
  <c r="H1125"/>
  <c r="I1125"/>
  <c r="K1125"/>
  <c r="N1125"/>
  <c r="W1125"/>
  <c r="H1126"/>
  <c r="I1126"/>
  <c r="K1126"/>
  <c r="N1126"/>
  <c r="W1126"/>
  <c r="H1127"/>
  <c r="I1127"/>
  <c r="K1127"/>
  <c r="N1127"/>
  <c r="W1127"/>
  <c r="H1128"/>
  <c r="I1128"/>
  <c r="K1128"/>
  <c r="N1128"/>
  <c r="W1128"/>
  <c r="H1129"/>
  <c r="I1129"/>
  <c r="K1129"/>
  <c r="N1129"/>
  <c r="W1129"/>
  <c r="H1130"/>
  <c r="I1130"/>
  <c r="K1130"/>
  <c r="N1130"/>
  <c r="W1130"/>
  <c r="H1131"/>
  <c r="I1131"/>
  <c r="K1131"/>
  <c r="N1131"/>
  <c r="W1131"/>
  <c r="H1132"/>
  <c r="I1132"/>
  <c r="K1132"/>
  <c r="N1132"/>
  <c r="W1132"/>
  <c r="H1133"/>
  <c r="I1133"/>
  <c r="K1133"/>
  <c r="N1133"/>
  <c r="W1133"/>
  <c r="H1134"/>
  <c r="I1134"/>
  <c r="K1134"/>
  <c r="N1134"/>
  <c r="W1134"/>
  <c r="H1135"/>
  <c r="I1135"/>
  <c r="K1135"/>
  <c r="N1135"/>
  <c r="W1135"/>
  <c r="H1136"/>
  <c r="I1136"/>
  <c r="K1136"/>
  <c r="N1136"/>
  <c r="W1136"/>
  <c r="H1137"/>
  <c r="I1137"/>
  <c r="K1137"/>
  <c r="N1137"/>
  <c r="W1137"/>
  <c r="H1138"/>
  <c r="I1138"/>
  <c r="K1138"/>
  <c r="N1138"/>
  <c r="W1138"/>
  <c r="H1139"/>
  <c r="I1139"/>
  <c r="K1139"/>
  <c r="N1139"/>
  <c r="W1139"/>
  <c r="H1140"/>
  <c r="I1140"/>
  <c r="K1140"/>
  <c r="N1140"/>
  <c r="W1140"/>
  <c r="H1141"/>
  <c r="I1141"/>
  <c r="K1141"/>
  <c r="N1141"/>
  <c r="W1141"/>
  <c r="H1142"/>
  <c r="I1142"/>
  <c r="K1142"/>
  <c r="N1142"/>
  <c r="W1142"/>
  <c r="H1143"/>
  <c r="I1143"/>
  <c r="K1143"/>
  <c r="N1143"/>
  <c r="W1143"/>
  <c r="H1144"/>
  <c r="I1144"/>
  <c r="K1144"/>
  <c r="N1144"/>
  <c r="W1144"/>
  <c r="H1145"/>
  <c r="I1145"/>
  <c r="K1145"/>
  <c r="N1145"/>
  <c r="W1145"/>
  <c r="H1146"/>
  <c r="I1146"/>
  <c r="K1146"/>
  <c r="N1146"/>
  <c r="W1146"/>
  <c r="H1147"/>
  <c r="I1147"/>
  <c r="K1147"/>
  <c r="N1147"/>
  <c r="W1147"/>
  <c r="H1148"/>
  <c r="I1148"/>
  <c r="K1148"/>
  <c r="N1148"/>
  <c r="W1148"/>
  <c r="H1149"/>
  <c r="I1149"/>
  <c r="K1149"/>
  <c r="N1149"/>
  <c r="W1149"/>
  <c r="H1150"/>
  <c r="I1150"/>
  <c r="K1150"/>
  <c r="N1150"/>
  <c r="W1150"/>
  <c r="H1151"/>
  <c r="I1151"/>
  <c r="K1151"/>
  <c r="N1151"/>
  <c r="W1151"/>
  <c r="H1152"/>
  <c r="I1152"/>
  <c r="K1152"/>
  <c r="N1152"/>
  <c r="W1152"/>
  <c r="H1153"/>
  <c r="I1153"/>
  <c r="K1153"/>
  <c r="N1153"/>
  <c r="W1153"/>
  <c r="H1154"/>
  <c r="I1154"/>
  <c r="K1154"/>
  <c r="N1154"/>
  <c r="W1154"/>
  <c r="H1155"/>
  <c r="I1155"/>
  <c r="K1155"/>
  <c r="N1155"/>
  <c r="W1155"/>
  <c r="H1156"/>
  <c r="I1156"/>
  <c r="K1156"/>
  <c r="N1156"/>
  <c r="W1156"/>
  <c r="H1157"/>
  <c r="I1157"/>
  <c r="K1157"/>
  <c r="N1157"/>
  <c r="W1157"/>
  <c r="H1158"/>
  <c r="I1158"/>
  <c r="K1158"/>
  <c r="N1158"/>
  <c r="W1158"/>
  <c r="H1159"/>
  <c r="I1159"/>
  <c r="K1159"/>
  <c r="N1159"/>
  <c r="W1159"/>
  <c r="H1160"/>
  <c r="I1160"/>
  <c r="K1160"/>
  <c r="N1160"/>
  <c r="W1160"/>
  <c r="H1161"/>
  <c r="I1161"/>
  <c r="K1161"/>
  <c r="N1161"/>
  <c r="W1161"/>
  <c r="H1162"/>
  <c r="I1162"/>
  <c r="K1162"/>
  <c r="N1162"/>
  <c r="W1162"/>
  <c r="H1163"/>
  <c r="I1163"/>
  <c r="K1163"/>
  <c r="N1163"/>
  <c r="W1163"/>
  <c r="H1164"/>
  <c r="I1164"/>
  <c r="K1164"/>
  <c r="N1164"/>
  <c r="W1164"/>
  <c r="H1165"/>
  <c r="I1165"/>
  <c r="K1165"/>
  <c r="N1165"/>
  <c r="W1165"/>
  <c r="H1166"/>
  <c r="I1166"/>
  <c r="K1166"/>
  <c r="N1166"/>
  <c r="W1166"/>
  <c r="H1167"/>
  <c r="I1167"/>
  <c r="K1167"/>
  <c r="N1167"/>
  <c r="W1167"/>
  <c r="H1168"/>
  <c r="I1168"/>
  <c r="K1168"/>
  <c r="N1168"/>
  <c r="W1168"/>
  <c r="H1169"/>
  <c r="I1169"/>
  <c r="K1169"/>
  <c r="N1169"/>
  <c r="W1169"/>
  <c r="H1170"/>
  <c r="I1170"/>
  <c r="K1170"/>
  <c r="N1170"/>
  <c r="W1170"/>
  <c r="H1171"/>
  <c r="I1171"/>
  <c r="K1171"/>
  <c r="N1171"/>
  <c r="W1171"/>
  <c r="H1172"/>
  <c r="I1172"/>
  <c r="K1172"/>
  <c r="N1172"/>
  <c r="W1172"/>
  <c r="H1173"/>
  <c r="I1173"/>
  <c r="K1173"/>
  <c r="N1173"/>
  <c r="W1173"/>
  <c r="H1174"/>
  <c r="I1174"/>
  <c r="K1174"/>
  <c r="N1174"/>
  <c r="W1174"/>
  <c r="H1175"/>
  <c r="I1175"/>
  <c r="K1175"/>
  <c r="N1175"/>
  <c r="W1175"/>
  <c r="H1176"/>
  <c r="I1176"/>
  <c r="K1176"/>
  <c r="N1176"/>
  <c r="W1176"/>
  <c r="H1177"/>
  <c r="I1177"/>
  <c r="K1177"/>
  <c r="N1177"/>
  <c r="W1177"/>
  <c r="H1178"/>
  <c r="I1178"/>
  <c r="K1178"/>
  <c r="N1178"/>
  <c r="W1178"/>
  <c r="H1179"/>
  <c r="I1179"/>
  <c r="K1179"/>
  <c r="N1179"/>
  <c r="W1179"/>
  <c r="H1180"/>
  <c r="I1180"/>
  <c r="K1180"/>
  <c r="N1180"/>
  <c r="W1180"/>
  <c r="H1181"/>
  <c r="I1181"/>
  <c r="K1181"/>
  <c r="N1181"/>
  <c r="W1181"/>
  <c r="H1182"/>
  <c r="I1182"/>
  <c r="K1182"/>
  <c r="N1182"/>
  <c r="W1182"/>
  <c r="H1183"/>
  <c r="I1183"/>
  <c r="K1183"/>
  <c r="N1183"/>
  <c r="W1183"/>
  <c r="H1184"/>
  <c r="I1184"/>
  <c r="K1184"/>
  <c r="N1184"/>
  <c r="W1184"/>
  <c r="H1185"/>
  <c r="I1185"/>
  <c r="K1185"/>
  <c r="N1185"/>
  <c r="W1185"/>
  <c r="H1186"/>
  <c r="I1186"/>
  <c r="K1186"/>
  <c r="N1186"/>
  <c r="W1186"/>
  <c r="H1187"/>
  <c r="I1187"/>
  <c r="K1187"/>
  <c r="N1187"/>
  <c r="W1187"/>
  <c r="H1188"/>
  <c r="I1188"/>
  <c r="K1188"/>
  <c r="N1188"/>
  <c r="W1188"/>
  <c r="H1189"/>
  <c r="I1189"/>
  <c r="K1189"/>
  <c r="N1189"/>
  <c r="W1189"/>
  <c r="H1190"/>
  <c r="I1190"/>
  <c r="K1190"/>
  <c r="N1190"/>
  <c r="W1190"/>
  <c r="H1191"/>
  <c r="I1191"/>
  <c r="K1191"/>
  <c r="N1191"/>
  <c r="W1191"/>
  <c r="H1192"/>
  <c r="I1192"/>
  <c r="K1192"/>
  <c r="N1192"/>
  <c r="W1192"/>
  <c r="H1193"/>
  <c r="I1193"/>
  <c r="K1193"/>
  <c r="N1193"/>
  <c r="W1193"/>
  <c r="H1194"/>
  <c r="I1194"/>
  <c r="K1194"/>
  <c r="N1194"/>
  <c r="W1194"/>
  <c r="H1195"/>
  <c r="I1195"/>
  <c r="K1195"/>
  <c r="N1195"/>
  <c r="W1195"/>
  <c r="H1196"/>
  <c r="I1196"/>
  <c r="K1196"/>
  <c r="N1196"/>
  <c r="W1196"/>
  <c r="H1197"/>
  <c r="I1197"/>
  <c r="K1197"/>
  <c r="N1197"/>
  <c r="W1197"/>
  <c r="H1198"/>
  <c r="I1198"/>
  <c r="K1198"/>
  <c r="N1198"/>
  <c r="W1198"/>
  <c r="H1199"/>
  <c r="I1199"/>
  <c r="K1199"/>
  <c r="N1199"/>
  <c r="W1199"/>
  <c r="H1200"/>
  <c r="I1200"/>
  <c r="K1200"/>
  <c r="N1200"/>
  <c r="W1200"/>
  <c r="H1201"/>
  <c r="I1201"/>
  <c r="K1201"/>
  <c r="N1201"/>
  <c r="W1201"/>
  <c r="H1202"/>
  <c r="I1202"/>
  <c r="K1202"/>
  <c r="N1202"/>
  <c r="W1202"/>
  <c r="H1203"/>
  <c r="I1203"/>
  <c r="K1203"/>
  <c r="N1203"/>
  <c r="W1203"/>
  <c r="H1204"/>
  <c r="I1204"/>
  <c r="K1204"/>
  <c r="N1204"/>
  <c r="W1204"/>
  <c r="H1205"/>
  <c r="I1205"/>
  <c r="K1205"/>
  <c r="N1205"/>
  <c r="W1205"/>
  <c r="H1206"/>
  <c r="I1206"/>
  <c r="K1206"/>
  <c r="N1206"/>
  <c r="W1206"/>
  <c r="H1207"/>
  <c r="I1207"/>
  <c r="K1207"/>
  <c r="N1207"/>
  <c r="W1207"/>
  <c r="H1208"/>
  <c r="I1208"/>
  <c r="K1208"/>
  <c r="N1208"/>
  <c r="W1208"/>
  <c r="H1209"/>
  <c r="I1209"/>
  <c r="K1209"/>
  <c r="N1209"/>
  <c r="W1209"/>
  <c r="H1210"/>
  <c r="I1210"/>
  <c r="K1210"/>
  <c r="N1210"/>
  <c r="W1210"/>
  <c r="H1211"/>
  <c r="I1211"/>
  <c r="K1211"/>
  <c r="N1211"/>
  <c r="W1211"/>
  <c r="H1212"/>
  <c r="I1212"/>
  <c r="K1212"/>
  <c r="N1212"/>
  <c r="W1212"/>
  <c r="H1213"/>
  <c r="I1213"/>
  <c r="K1213"/>
  <c r="N1213"/>
  <c r="W1213"/>
  <c r="H1214"/>
  <c r="I1214"/>
  <c r="K1214"/>
  <c r="N1214"/>
  <c r="W1214"/>
  <c r="H1215"/>
  <c r="I1215"/>
  <c r="K1215"/>
  <c r="N1215"/>
  <c r="W1215"/>
  <c r="H1216"/>
  <c r="I1216"/>
  <c r="K1216"/>
  <c r="N1216"/>
  <c r="W1216"/>
  <c r="H1217"/>
  <c r="I1217"/>
  <c r="K1217"/>
  <c r="N1217"/>
  <c r="W1217"/>
  <c r="H1218"/>
  <c r="I1218"/>
  <c r="K1218"/>
  <c r="N1218"/>
  <c r="W1218"/>
  <c r="H1219"/>
  <c r="I1219"/>
  <c r="K1219"/>
  <c r="N1219"/>
  <c r="W1219"/>
  <c r="H1220"/>
  <c r="I1220"/>
  <c r="K1220"/>
  <c r="N1220"/>
  <c r="W1220"/>
  <c r="H1221"/>
  <c r="I1221"/>
  <c r="K1221"/>
  <c r="N1221"/>
  <c r="W1221"/>
  <c r="H1222"/>
  <c r="I1222"/>
  <c r="K1222"/>
  <c r="N1222"/>
  <c r="W1222"/>
  <c r="H1223"/>
  <c r="I1223"/>
  <c r="K1223"/>
  <c r="N1223"/>
  <c r="W1223"/>
  <c r="H1224"/>
  <c r="I1224"/>
  <c r="K1224"/>
  <c r="N1224"/>
  <c r="W1224"/>
  <c r="H1225"/>
  <c r="I1225"/>
  <c r="K1225"/>
  <c r="N1225"/>
  <c r="W1225"/>
  <c r="H1226"/>
  <c r="I1226"/>
  <c r="K1226"/>
  <c r="N1226"/>
  <c r="W1226"/>
  <c r="H1227"/>
  <c r="I1227"/>
  <c r="K1227"/>
  <c r="N1227"/>
  <c r="W1227"/>
  <c r="H1228"/>
  <c r="I1228"/>
  <c r="K1228"/>
  <c r="N1228"/>
  <c r="W1228"/>
  <c r="H1229"/>
  <c r="I1229"/>
  <c r="K1229"/>
  <c r="N1229"/>
  <c r="W1229"/>
  <c r="H1230"/>
  <c r="I1230"/>
  <c r="K1230"/>
  <c r="N1230"/>
  <c r="W1230"/>
  <c r="H1231"/>
  <c r="I1231"/>
  <c r="K1231"/>
  <c r="N1231"/>
  <c r="W1231"/>
  <c r="H1232"/>
  <c r="I1232"/>
  <c r="K1232"/>
  <c r="N1232"/>
  <c r="W1232"/>
  <c r="H1233"/>
  <c r="I1233"/>
  <c r="K1233"/>
  <c r="N1233"/>
  <c r="W1233"/>
  <c r="H1234"/>
  <c r="I1234"/>
  <c r="K1234"/>
  <c r="N1234"/>
  <c r="W1234"/>
  <c r="H1235"/>
  <c r="I1235"/>
  <c r="K1235"/>
  <c r="N1235"/>
  <c r="W1235"/>
  <c r="H1236"/>
  <c r="I1236"/>
  <c r="K1236"/>
  <c r="N1236"/>
  <c r="W1236"/>
  <c r="H1237"/>
  <c r="I1237"/>
  <c r="K1237"/>
  <c r="N1237"/>
  <c r="W1237"/>
  <c r="H1238"/>
  <c r="I1238"/>
  <c r="K1238"/>
  <c r="N1238"/>
  <c r="W1238"/>
  <c r="H1239"/>
  <c r="I1239"/>
  <c r="K1239"/>
  <c r="N1239"/>
  <c r="W1239"/>
  <c r="H1240"/>
  <c r="I1240"/>
  <c r="K1240"/>
  <c r="N1240"/>
  <c r="W1240"/>
  <c r="H1241"/>
  <c r="I1241"/>
  <c r="K1241"/>
  <c r="N1241"/>
  <c r="W1241"/>
  <c r="H1242"/>
  <c r="I1242"/>
  <c r="K1242"/>
  <c r="N1242"/>
  <c r="W1242"/>
  <c r="H1243"/>
  <c r="I1243"/>
  <c r="K1243"/>
  <c r="N1243"/>
  <c r="W1243"/>
  <c r="H1244"/>
  <c r="I1244"/>
  <c r="K1244"/>
  <c r="N1244"/>
  <c r="W1244"/>
  <c r="H1245"/>
  <c r="I1245"/>
  <c r="K1245"/>
  <c r="N1245"/>
  <c r="W1245"/>
  <c r="H1246"/>
  <c r="I1246"/>
  <c r="K1246"/>
  <c r="N1246"/>
  <c r="W1246"/>
  <c r="H1247"/>
  <c r="I1247"/>
  <c r="K1247"/>
  <c r="N1247"/>
  <c r="W1247"/>
  <c r="H1248"/>
  <c r="I1248"/>
  <c r="K1248"/>
  <c r="N1248"/>
  <c r="W1248"/>
  <c r="H1249"/>
  <c r="I1249"/>
  <c r="K1249"/>
  <c r="N1249"/>
  <c r="W1249"/>
  <c r="H1250"/>
  <c r="I1250"/>
  <c r="K1250"/>
  <c r="N1250"/>
  <c r="W1250"/>
  <c r="H1251"/>
  <c r="I1251"/>
  <c r="K1251"/>
  <c r="N1251"/>
  <c r="W1251"/>
  <c r="H1252"/>
  <c r="I1252"/>
  <c r="K1252"/>
  <c r="N1252"/>
  <c r="W1252"/>
  <c r="H1253"/>
  <c r="I1253"/>
  <c r="K1253"/>
  <c r="N1253"/>
  <c r="W1253"/>
  <c r="H1254"/>
  <c r="I1254"/>
  <c r="K1254"/>
  <c r="N1254"/>
  <c r="W1254"/>
  <c r="H1255"/>
  <c r="I1255"/>
  <c r="K1255"/>
  <c r="N1255"/>
  <c r="W1255"/>
  <c r="H1256"/>
  <c r="I1256"/>
  <c r="K1256"/>
  <c r="N1256"/>
  <c r="W1256"/>
  <c r="H1257"/>
  <c r="I1257"/>
  <c r="K1257"/>
  <c r="N1257"/>
  <c r="W1257"/>
  <c r="H1258"/>
  <c r="I1258"/>
  <c r="K1258"/>
  <c r="N1258"/>
  <c r="W1258"/>
  <c r="H1259"/>
  <c r="I1259"/>
  <c r="K1259"/>
  <c r="N1259"/>
  <c r="W1259"/>
  <c r="H1260"/>
  <c r="I1260"/>
  <c r="K1260"/>
  <c r="N1260"/>
  <c r="W1260"/>
  <c r="H1261"/>
  <c r="I1261"/>
  <c r="K1261"/>
  <c r="N1261"/>
  <c r="W1261"/>
  <c r="H1262"/>
  <c r="I1262"/>
  <c r="K1262"/>
  <c r="N1262"/>
  <c r="W1262"/>
  <c r="H1263"/>
  <c r="I1263"/>
  <c r="K1263"/>
  <c r="N1263"/>
  <c r="W1263"/>
  <c r="H1264"/>
  <c r="I1264"/>
  <c r="K1264"/>
  <c r="N1264"/>
  <c r="W1264"/>
  <c r="H1265"/>
  <c r="I1265"/>
  <c r="K1265"/>
  <c r="N1265"/>
  <c r="W1265"/>
  <c r="H1266"/>
  <c r="I1266"/>
  <c r="K1266"/>
  <c r="N1266"/>
  <c r="W1266"/>
  <c r="H1267"/>
  <c r="I1267"/>
  <c r="K1267"/>
  <c r="N1267"/>
  <c r="W1267"/>
  <c r="H1268"/>
  <c r="I1268"/>
  <c r="K1268"/>
  <c r="N1268"/>
  <c r="W1268"/>
  <c r="H1269"/>
  <c r="I1269"/>
  <c r="K1269"/>
  <c r="N1269"/>
  <c r="W1269"/>
  <c r="H1270"/>
  <c r="I1270"/>
  <c r="K1270"/>
  <c r="N1270"/>
  <c r="W1270"/>
  <c r="H1271"/>
  <c r="I1271"/>
  <c r="K1271"/>
  <c r="N1271"/>
  <c r="W1271"/>
  <c r="H1272"/>
  <c r="I1272"/>
  <c r="K1272"/>
  <c r="N1272"/>
  <c r="W1272"/>
  <c r="H1273"/>
  <c r="I1273"/>
  <c r="K1273"/>
  <c r="N1273"/>
  <c r="W1273"/>
  <c r="H1274"/>
  <c r="I1274"/>
  <c r="K1274"/>
  <c r="N1274"/>
  <c r="W1274"/>
  <c r="H1275"/>
  <c r="I1275"/>
  <c r="K1275"/>
  <c r="N1275"/>
  <c r="W1275"/>
  <c r="H1276"/>
  <c r="I1276"/>
  <c r="K1276"/>
  <c r="N1276"/>
  <c r="W1276"/>
  <c r="H1277"/>
  <c r="I1277"/>
  <c r="K1277"/>
  <c r="N1277"/>
  <c r="W1277"/>
  <c r="H1278"/>
  <c r="I1278"/>
  <c r="K1278"/>
  <c r="N1278"/>
  <c r="W1278"/>
  <c r="H1279"/>
  <c r="I1279"/>
  <c r="K1279"/>
  <c r="N1279"/>
  <c r="W1279"/>
  <c r="H1280"/>
  <c r="I1280"/>
  <c r="K1280"/>
  <c r="N1280"/>
  <c r="W1280"/>
  <c r="H1281"/>
  <c r="I1281"/>
  <c r="K1281"/>
  <c r="N1281"/>
  <c r="W1281"/>
  <c r="H1282"/>
  <c r="I1282"/>
  <c r="K1282"/>
  <c r="N1282"/>
  <c r="W1282"/>
  <c r="H1283"/>
  <c r="I1283"/>
  <c r="K1283"/>
  <c r="N1283"/>
  <c r="W1283"/>
  <c r="H1284"/>
  <c r="I1284"/>
  <c r="K1284"/>
  <c r="N1284"/>
  <c r="W1284"/>
  <c r="H1285"/>
  <c r="I1285"/>
  <c r="K1285"/>
  <c r="N1285"/>
  <c r="W1285"/>
  <c r="H1286"/>
  <c r="I1286"/>
  <c r="K1286"/>
  <c r="N1286"/>
  <c r="W1286"/>
  <c r="H1287"/>
  <c r="I1287"/>
  <c r="K1287"/>
  <c r="N1287"/>
  <c r="W1287"/>
  <c r="H1288"/>
  <c r="I1288"/>
  <c r="K1288"/>
  <c r="N1288"/>
  <c r="W1288"/>
  <c r="H1289"/>
  <c r="I1289"/>
  <c r="K1289"/>
  <c r="N1289"/>
  <c r="W1289"/>
  <c r="H1290"/>
  <c r="I1290"/>
  <c r="K1290"/>
  <c r="N1290"/>
  <c r="W1290"/>
  <c r="H1291"/>
  <c r="I1291"/>
  <c r="K1291"/>
  <c r="N1291"/>
  <c r="W1291"/>
  <c r="H1292"/>
  <c r="I1292"/>
  <c r="K1292"/>
  <c r="N1292"/>
  <c r="W1292"/>
  <c r="H1293"/>
  <c r="I1293"/>
  <c r="K1293"/>
  <c r="N1293"/>
  <c r="W1293"/>
  <c r="H1294"/>
  <c r="I1294"/>
  <c r="K1294"/>
  <c r="N1294"/>
  <c r="W1294"/>
  <c r="H1295"/>
  <c r="I1295"/>
  <c r="K1295"/>
  <c r="N1295"/>
  <c r="W1295"/>
  <c r="H1296"/>
  <c r="I1296"/>
  <c r="K1296"/>
  <c r="N1296"/>
  <c r="W1296"/>
  <c r="H1297"/>
  <c r="I1297"/>
  <c r="K1297"/>
  <c r="N1297"/>
  <c r="W1297"/>
  <c r="H1298"/>
  <c r="I1298"/>
  <c r="K1298"/>
  <c r="N1298"/>
  <c r="W1298"/>
  <c r="H1299"/>
  <c r="I1299"/>
  <c r="K1299"/>
  <c r="N1299"/>
  <c r="W1299"/>
  <c r="H1300"/>
  <c r="I1300"/>
  <c r="K1300"/>
  <c r="N1300"/>
  <c r="W1300"/>
  <c r="H1301"/>
  <c r="I1301"/>
  <c r="K1301"/>
  <c r="N1301"/>
  <c r="W1301"/>
  <c r="H1302"/>
  <c r="I1302"/>
  <c r="K1302"/>
  <c r="N1302"/>
  <c r="W1302"/>
  <c r="H1303"/>
  <c r="I1303"/>
  <c r="K1303"/>
  <c r="N1303"/>
  <c r="W1303"/>
  <c r="H1304"/>
  <c r="I1304"/>
  <c r="K1304"/>
  <c r="N1304"/>
  <c r="W1304"/>
  <c r="H1305"/>
  <c r="I1305"/>
  <c r="K1305"/>
  <c r="N1305"/>
  <c r="W1305"/>
  <c r="H1306"/>
  <c r="I1306"/>
  <c r="K1306"/>
  <c r="N1306"/>
  <c r="W1306"/>
  <c r="H1307"/>
  <c r="I1307"/>
  <c r="K1307"/>
  <c r="N1307"/>
  <c r="W1307"/>
  <c r="H1308"/>
  <c r="I1308"/>
  <c r="K1308"/>
  <c r="N1308"/>
  <c r="W1308"/>
  <c r="H1309"/>
  <c r="I1309"/>
  <c r="K1309"/>
  <c r="N1309"/>
  <c r="W1309"/>
  <c r="H1310"/>
  <c r="I1310"/>
  <c r="K1310"/>
  <c r="N1310"/>
  <c r="W1310"/>
  <c r="H1311"/>
  <c r="I1311"/>
  <c r="K1311"/>
  <c r="N1311"/>
  <c r="W1311"/>
  <c r="H1312"/>
  <c r="I1312"/>
  <c r="K1312"/>
  <c r="N1312"/>
  <c r="W1312"/>
  <c r="H1313"/>
  <c r="I1313"/>
  <c r="K1313"/>
  <c r="N1313"/>
  <c r="W1313"/>
  <c r="H1314"/>
  <c r="I1314"/>
  <c r="K1314"/>
  <c r="N1314"/>
  <c r="W1314"/>
  <c r="H1315"/>
  <c r="I1315"/>
  <c r="K1315"/>
  <c r="N1315"/>
  <c r="W1315"/>
  <c r="H1316"/>
  <c r="I1316"/>
  <c r="K1316"/>
  <c r="N1316"/>
  <c r="W1316"/>
  <c r="H1317"/>
  <c r="I1317"/>
  <c r="K1317"/>
  <c r="N1317"/>
  <c r="W1317"/>
  <c r="H1318"/>
  <c r="I1318"/>
  <c r="K1318"/>
  <c r="N1318"/>
  <c r="W1318"/>
  <c r="H1319"/>
  <c r="I1319"/>
  <c r="K1319"/>
  <c r="N1319"/>
  <c r="W1319"/>
  <c r="H1320"/>
  <c r="I1320"/>
  <c r="K1320"/>
  <c r="N1320"/>
  <c r="W1320"/>
  <c r="H1321"/>
  <c r="I1321"/>
  <c r="K1321"/>
  <c r="N1321"/>
  <c r="W1321"/>
  <c r="H1322"/>
  <c r="I1322"/>
  <c r="K1322"/>
  <c r="N1322"/>
  <c r="W1322"/>
  <c r="H1323"/>
  <c r="I1323"/>
  <c r="K1323"/>
  <c r="N1323"/>
  <c r="W1323"/>
  <c r="H1324"/>
  <c r="I1324"/>
  <c r="K1324"/>
  <c r="N1324"/>
  <c r="W1324"/>
  <c r="H1325"/>
  <c r="I1325"/>
  <c r="K1325"/>
  <c r="N1325"/>
  <c r="W1325"/>
  <c r="H1326"/>
  <c r="I1326"/>
  <c r="K1326"/>
  <c r="N1326"/>
  <c r="W1326"/>
  <c r="H1327"/>
  <c r="I1327"/>
  <c r="K1327"/>
  <c r="N1327"/>
  <c r="W1327"/>
  <c r="H1328"/>
  <c r="I1328"/>
  <c r="K1328"/>
  <c r="N1328"/>
  <c r="W1328"/>
  <c r="H1329"/>
  <c r="I1329"/>
  <c r="K1329"/>
  <c r="N1329"/>
  <c r="W1329"/>
  <c r="H1330"/>
  <c r="I1330"/>
  <c r="K1330"/>
  <c r="N1330"/>
  <c r="W1330"/>
  <c r="H1331"/>
  <c r="I1331"/>
  <c r="K1331"/>
  <c r="N1331"/>
  <c r="W1331"/>
  <c r="H1332"/>
  <c r="I1332"/>
  <c r="K1332"/>
  <c r="N1332"/>
  <c r="W1332"/>
  <c r="H1333"/>
  <c r="I1333"/>
  <c r="K1333"/>
  <c r="N1333"/>
  <c r="W1333"/>
  <c r="H1334"/>
  <c r="I1334"/>
  <c r="K1334"/>
  <c r="N1334"/>
  <c r="W1334"/>
  <c r="H1335"/>
  <c r="I1335"/>
  <c r="K1335"/>
  <c r="N1335"/>
  <c r="W1335"/>
  <c r="H1336"/>
  <c r="I1336"/>
  <c r="K1336"/>
  <c r="N1336"/>
  <c r="W1336"/>
  <c r="H1337"/>
  <c r="I1337"/>
  <c r="K1337"/>
  <c r="N1337"/>
  <c r="W1337"/>
  <c r="H1338"/>
  <c r="I1338"/>
  <c r="K1338"/>
  <c r="N1338"/>
  <c r="W1338"/>
  <c r="H1339"/>
  <c r="I1339"/>
  <c r="K1339"/>
  <c r="N1339"/>
  <c r="W1339"/>
  <c r="H1340"/>
  <c r="I1340"/>
  <c r="K1340"/>
  <c r="N1340"/>
  <c r="W1340"/>
  <c r="H1341"/>
  <c r="I1341"/>
  <c r="K1341"/>
  <c r="N1341"/>
  <c r="W1341"/>
  <c r="H1342"/>
  <c r="I1342"/>
  <c r="K1342"/>
  <c r="N1342"/>
  <c r="W1342"/>
  <c r="H1343"/>
  <c r="I1343"/>
  <c r="K1343"/>
  <c r="N1343"/>
  <c r="W1343"/>
  <c r="H1344"/>
  <c r="I1344"/>
  <c r="K1344"/>
  <c r="N1344"/>
  <c r="W1344"/>
  <c r="H1345"/>
  <c r="I1345"/>
  <c r="K1345"/>
  <c r="N1345"/>
  <c r="W1345"/>
  <c r="H1346"/>
  <c r="I1346"/>
  <c r="K1346"/>
  <c r="N1346"/>
  <c r="W1346"/>
  <c r="H1347"/>
  <c r="I1347"/>
  <c r="K1347"/>
  <c r="N1347"/>
  <c r="W1347"/>
  <c r="H1348"/>
  <c r="I1348"/>
  <c r="K1348"/>
  <c r="N1348"/>
  <c r="W1348"/>
  <c r="H1349"/>
  <c r="I1349"/>
  <c r="K1349"/>
  <c r="N1349"/>
  <c r="W1349"/>
  <c r="H1350"/>
  <c r="I1350"/>
  <c r="K1350"/>
  <c r="N1350"/>
  <c r="W1350"/>
  <c r="H1351"/>
  <c r="I1351"/>
  <c r="K1351"/>
  <c r="N1351"/>
  <c r="W1351"/>
  <c r="H1352"/>
  <c r="I1352"/>
  <c r="K1352"/>
  <c r="N1352"/>
  <c r="W1352"/>
  <c r="H1353"/>
  <c r="I1353"/>
  <c r="K1353"/>
  <c r="N1353"/>
  <c r="W1353"/>
  <c r="H1354"/>
  <c r="I1354"/>
  <c r="K1354"/>
  <c r="N1354"/>
  <c r="W1354"/>
  <c r="H1355"/>
  <c r="I1355"/>
  <c r="K1355"/>
  <c r="N1355"/>
  <c r="W1355"/>
  <c r="H1356"/>
  <c r="I1356"/>
  <c r="K1356"/>
  <c r="N1356"/>
  <c r="W1356"/>
  <c r="H1357"/>
  <c r="I1357"/>
  <c r="K1357"/>
  <c r="N1357"/>
  <c r="W1357"/>
  <c r="H1358"/>
  <c r="I1358"/>
  <c r="K1358"/>
  <c r="N1358"/>
  <c r="W1358"/>
  <c r="H1359"/>
  <c r="I1359"/>
  <c r="K1359"/>
  <c r="N1359"/>
  <c r="W1359"/>
  <c r="H1360"/>
  <c r="I1360"/>
  <c r="K1360"/>
  <c r="N1360"/>
  <c r="W1360"/>
  <c r="H1361"/>
  <c r="I1361"/>
  <c r="K1361"/>
  <c r="N1361"/>
  <c r="W1361"/>
  <c r="H1362"/>
  <c r="I1362"/>
  <c r="K1362"/>
  <c r="N1362"/>
  <c r="W1362"/>
  <c r="H1363"/>
  <c r="I1363"/>
  <c r="K1363"/>
  <c r="N1363"/>
  <c r="W1363"/>
  <c r="H1364"/>
  <c r="I1364"/>
  <c r="K1364"/>
  <c r="N1364"/>
  <c r="W1364"/>
  <c r="H1365"/>
  <c r="I1365"/>
  <c r="K1365"/>
  <c r="N1365"/>
  <c r="W1365"/>
  <c r="H1366"/>
  <c r="I1366"/>
  <c r="K1366"/>
  <c r="N1366"/>
  <c r="W1366"/>
  <c r="H1367"/>
  <c r="I1367"/>
  <c r="K1367"/>
  <c r="N1367"/>
  <c r="W1367"/>
  <c r="H1368"/>
  <c r="I1368"/>
  <c r="K1368"/>
  <c r="N1368"/>
  <c r="W1368"/>
  <c r="H1369"/>
  <c r="I1369"/>
  <c r="K1369"/>
  <c r="N1369"/>
  <c r="W1369"/>
  <c r="H1370"/>
  <c r="I1370"/>
  <c r="K1370"/>
  <c r="N1370"/>
  <c r="W1370"/>
  <c r="H1371"/>
  <c r="I1371"/>
  <c r="K1371"/>
  <c r="N1371"/>
  <c r="W1371"/>
  <c r="H1372"/>
  <c r="I1372"/>
  <c r="K1372"/>
  <c r="N1372"/>
  <c r="W1372"/>
  <c r="H1373"/>
  <c r="I1373"/>
  <c r="K1373"/>
  <c r="N1373"/>
  <c r="W1373"/>
  <c r="H1374"/>
  <c r="I1374"/>
  <c r="K1374"/>
  <c r="N1374"/>
  <c r="W1374"/>
  <c r="H1375"/>
  <c r="I1375"/>
  <c r="K1375"/>
  <c r="N1375"/>
  <c r="W1375"/>
  <c r="H1376"/>
  <c r="I1376"/>
  <c r="K1376"/>
  <c r="N1376"/>
  <c r="W1376"/>
  <c r="H1377"/>
  <c r="I1377"/>
  <c r="K1377"/>
  <c r="N1377"/>
  <c r="W1377"/>
  <c r="H1378"/>
  <c r="I1378"/>
  <c r="K1378"/>
  <c r="N1378"/>
  <c r="W1378"/>
  <c r="H1379"/>
  <c r="I1379"/>
  <c r="K1379"/>
  <c r="N1379"/>
  <c r="W1379"/>
  <c r="H1380"/>
  <c r="I1380"/>
  <c r="K1380"/>
  <c r="N1380"/>
  <c r="W1380"/>
  <c r="H1381"/>
  <c r="I1381"/>
  <c r="K1381"/>
  <c r="N1381"/>
  <c r="W1381"/>
  <c r="H1382"/>
  <c r="I1382"/>
  <c r="K1382"/>
  <c r="N1382"/>
  <c r="W1382"/>
  <c r="H1383"/>
  <c r="I1383"/>
  <c r="K1383"/>
  <c r="N1383"/>
  <c r="W1383"/>
  <c r="H1384"/>
  <c r="I1384"/>
  <c r="K1384"/>
  <c r="N1384"/>
  <c r="W1384"/>
  <c r="H1385"/>
  <c r="I1385"/>
  <c r="K1385"/>
  <c r="N1385"/>
  <c r="W1385"/>
  <c r="H1386"/>
  <c r="I1386"/>
  <c r="K1386"/>
  <c r="N1386"/>
  <c r="W1386"/>
  <c r="H1387"/>
  <c r="I1387"/>
  <c r="K1387"/>
  <c r="N1387"/>
  <c r="W1387"/>
  <c r="H1388"/>
  <c r="I1388"/>
  <c r="K1388"/>
  <c r="N1388"/>
  <c r="W1388"/>
  <c r="H1389"/>
  <c r="I1389"/>
  <c r="K1389"/>
  <c r="N1389"/>
  <c r="W1389"/>
  <c r="H1390"/>
  <c r="I1390"/>
  <c r="K1390"/>
  <c r="N1390"/>
  <c r="W1390"/>
  <c r="H1391"/>
  <c r="I1391"/>
  <c r="K1391"/>
  <c r="N1391"/>
  <c r="W1391"/>
  <c r="H1392"/>
  <c r="I1392"/>
  <c r="K1392"/>
  <c r="N1392"/>
  <c r="W1392"/>
  <c r="H1393"/>
  <c r="I1393"/>
  <c r="K1393"/>
  <c r="N1393"/>
  <c r="W1393"/>
  <c r="H1394"/>
  <c r="I1394"/>
  <c r="K1394"/>
  <c r="N1394"/>
  <c r="W1394"/>
  <c r="H1395"/>
  <c r="I1395"/>
  <c r="K1395"/>
  <c r="N1395"/>
  <c r="W1395"/>
  <c r="H1396"/>
  <c r="I1396"/>
  <c r="K1396"/>
  <c r="N1396"/>
  <c r="W1396"/>
  <c r="H1397"/>
  <c r="I1397"/>
  <c r="K1397"/>
  <c r="N1397"/>
  <c r="W1397"/>
  <c r="H1398"/>
  <c r="I1398"/>
  <c r="K1398"/>
  <c r="N1398"/>
  <c r="W1398"/>
  <c r="H1399"/>
  <c r="I1399"/>
  <c r="K1399"/>
  <c r="N1399"/>
  <c r="W1399"/>
  <c r="H1400"/>
  <c r="I1400"/>
  <c r="K1400"/>
  <c r="N1400"/>
  <c r="W1400"/>
  <c r="H1401"/>
  <c r="I1401"/>
  <c r="K1401"/>
  <c r="N1401"/>
  <c r="W1401"/>
  <c r="H1402"/>
  <c r="I1402"/>
  <c r="K1402"/>
  <c r="N1402"/>
  <c r="W1402"/>
  <c r="H1403"/>
  <c r="I1403"/>
  <c r="K1403"/>
  <c r="N1403"/>
  <c r="W1403"/>
  <c r="H1404"/>
  <c r="I1404"/>
  <c r="K1404"/>
  <c r="N1404"/>
  <c r="W1404"/>
  <c r="H1405"/>
  <c r="I1405"/>
  <c r="K1405"/>
  <c r="N1405"/>
  <c r="W1405"/>
  <c r="H1406"/>
  <c r="I1406"/>
  <c r="K1406"/>
  <c r="N1406"/>
  <c r="W1406"/>
  <c r="H1407"/>
  <c r="I1407"/>
  <c r="K1407"/>
  <c r="N1407"/>
  <c r="W1407"/>
  <c r="H1408"/>
  <c r="I1408"/>
  <c r="K1408"/>
  <c r="N1408"/>
  <c r="W1408"/>
  <c r="H1409"/>
  <c r="I1409"/>
  <c r="K1409"/>
  <c r="N1409"/>
  <c r="W1409"/>
  <c r="H1410"/>
  <c r="I1410"/>
  <c r="K1410"/>
  <c r="N1410"/>
  <c r="W1410"/>
  <c r="H1411"/>
  <c r="I1411"/>
  <c r="K1411"/>
  <c r="N1411"/>
  <c r="W1411"/>
  <c r="H1412"/>
  <c r="I1412"/>
  <c r="K1412"/>
  <c r="N1412"/>
  <c r="W1412"/>
  <c r="H1413"/>
  <c r="I1413"/>
  <c r="K1413"/>
  <c r="N1413"/>
  <c r="W1413"/>
  <c r="H1414"/>
  <c r="I1414"/>
  <c r="K1414"/>
  <c r="N1414"/>
  <c r="W1414"/>
  <c r="H1415"/>
  <c r="I1415"/>
  <c r="K1415"/>
  <c r="N1415"/>
  <c r="W1415"/>
  <c r="H1416"/>
  <c r="I1416"/>
  <c r="K1416"/>
  <c r="N1416"/>
  <c r="W1416"/>
  <c r="H1417"/>
  <c r="I1417"/>
  <c r="K1417"/>
  <c r="N1417"/>
  <c r="W1417"/>
  <c r="H1418"/>
  <c r="I1418"/>
  <c r="K1418"/>
  <c r="N1418"/>
  <c r="W1418"/>
  <c r="H1419"/>
  <c r="I1419"/>
  <c r="K1419"/>
  <c r="N1419"/>
  <c r="W1419"/>
  <c r="H1420"/>
  <c r="I1420"/>
  <c r="K1420"/>
  <c r="N1420"/>
  <c r="W1420"/>
  <c r="H1421"/>
  <c r="I1421"/>
  <c r="K1421"/>
  <c r="N1421"/>
  <c r="W1421"/>
  <c r="H1422"/>
  <c r="I1422"/>
  <c r="K1422"/>
  <c r="N1422"/>
  <c r="W1422"/>
  <c r="H1423"/>
  <c r="I1423"/>
  <c r="K1423"/>
  <c r="N1423"/>
  <c r="W1423"/>
  <c r="H1424"/>
  <c r="I1424"/>
  <c r="K1424"/>
  <c r="N1424"/>
  <c r="W1424"/>
  <c r="H1425"/>
  <c r="I1425"/>
  <c r="K1425"/>
  <c r="N1425"/>
  <c r="W1425"/>
  <c r="H1426"/>
  <c r="I1426"/>
  <c r="K1426"/>
  <c r="N1426"/>
  <c r="W1426"/>
  <c r="H1427"/>
  <c r="I1427"/>
  <c r="K1427"/>
  <c r="N1427"/>
  <c r="W1427"/>
  <c r="H1428"/>
  <c r="I1428"/>
  <c r="K1428"/>
  <c r="N1428"/>
  <c r="W1428"/>
  <c r="H1429"/>
  <c r="I1429"/>
  <c r="K1429"/>
  <c r="N1429"/>
  <c r="W1429"/>
  <c r="H1430"/>
  <c r="I1430"/>
  <c r="K1430"/>
  <c r="N1430"/>
  <c r="W1430"/>
  <c r="H1431"/>
  <c r="I1431"/>
  <c r="K1431"/>
  <c r="N1431"/>
  <c r="W1431"/>
  <c r="H1432"/>
  <c r="I1432"/>
  <c r="K1432"/>
  <c r="N1432"/>
  <c r="W1432"/>
  <c r="H1433"/>
  <c r="I1433"/>
  <c r="K1433"/>
  <c r="N1433"/>
  <c r="W1433"/>
  <c r="H1434"/>
  <c r="I1434"/>
  <c r="K1434"/>
  <c r="N1434"/>
  <c r="W1434"/>
  <c r="H1435"/>
  <c r="I1435"/>
  <c r="K1435"/>
  <c r="N1435"/>
  <c r="W1435"/>
  <c r="H1436"/>
  <c r="I1436"/>
  <c r="K1436"/>
  <c r="N1436"/>
  <c r="W1436"/>
  <c r="H1437"/>
  <c r="I1437"/>
  <c r="K1437"/>
  <c r="N1437"/>
  <c r="W1437"/>
  <c r="H1438"/>
  <c r="I1438"/>
  <c r="K1438"/>
  <c r="N1438"/>
  <c r="W1438"/>
  <c r="H1439"/>
  <c r="I1439"/>
  <c r="K1439"/>
  <c r="N1439"/>
  <c r="W1439"/>
  <c r="H1440"/>
  <c r="I1440"/>
  <c r="K1440"/>
  <c r="N1440"/>
  <c r="W1440"/>
  <c r="H1441"/>
  <c r="I1441"/>
  <c r="K1441"/>
  <c r="N1441"/>
  <c r="W1441"/>
  <c r="H1442"/>
  <c r="I1442"/>
  <c r="K1442"/>
  <c r="N1442"/>
  <c r="W1442"/>
  <c r="H1443"/>
  <c r="I1443"/>
  <c r="K1443"/>
  <c r="N1443"/>
  <c r="W1443"/>
  <c r="H1444"/>
  <c r="I1444"/>
  <c r="K1444"/>
  <c r="N1444"/>
  <c r="W1444"/>
  <c r="H1445"/>
  <c r="I1445"/>
  <c r="K1445"/>
  <c r="N1445"/>
  <c r="W1445"/>
  <c r="H1446"/>
  <c r="I1446"/>
  <c r="K1446"/>
  <c r="N1446"/>
  <c r="W1446"/>
  <c r="H1447"/>
  <c r="I1447"/>
  <c r="K1447"/>
  <c r="N1447"/>
  <c r="W1447"/>
  <c r="H1448"/>
  <c r="I1448"/>
  <c r="K1448"/>
  <c r="N1448"/>
  <c r="W1448"/>
  <c r="H1449"/>
  <c r="I1449"/>
  <c r="K1449"/>
  <c r="N1449"/>
  <c r="W1449"/>
  <c r="H1450"/>
  <c r="I1450"/>
  <c r="K1450"/>
  <c r="N1450"/>
  <c r="W1450"/>
  <c r="H1451"/>
  <c r="I1451"/>
  <c r="K1451"/>
  <c r="N1451"/>
  <c r="W1451"/>
  <c r="H1452"/>
  <c r="I1452"/>
  <c r="K1452"/>
  <c r="N1452"/>
  <c r="W1452"/>
  <c r="H1453"/>
  <c r="I1453"/>
  <c r="K1453"/>
  <c r="N1453"/>
  <c r="W1453"/>
  <c r="H1454"/>
  <c r="I1454"/>
  <c r="K1454"/>
  <c r="N1454"/>
  <c r="W1454"/>
  <c r="H1455"/>
  <c r="I1455"/>
  <c r="K1455"/>
  <c r="N1455"/>
  <c r="W1455"/>
  <c r="H1456"/>
  <c r="I1456"/>
  <c r="K1456"/>
  <c r="N1456"/>
  <c r="W1456"/>
  <c r="H1457"/>
  <c r="I1457"/>
  <c r="K1457"/>
  <c r="N1457"/>
  <c r="W1457"/>
  <c r="H1458"/>
  <c r="I1458"/>
  <c r="K1458"/>
  <c r="N1458"/>
  <c r="W1458"/>
  <c r="H1459"/>
  <c r="I1459"/>
  <c r="K1459"/>
  <c r="N1459"/>
  <c r="W1459"/>
  <c r="H1460"/>
  <c r="I1460"/>
  <c r="K1460"/>
  <c r="N1460"/>
  <c r="W1460"/>
  <c r="H1461"/>
  <c r="I1461"/>
  <c r="K1461"/>
  <c r="N1461"/>
  <c r="W1461"/>
  <c r="H1462"/>
  <c r="I1462"/>
  <c r="K1462"/>
  <c r="N1462"/>
  <c r="W1462"/>
  <c r="H1463"/>
  <c r="I1463"/>
  <c r="K1463"/>
  <c r="N1463"/>
  <c r="W1463"/>
  <c r="H1464"/>
  <c r="I1464"/>
  <c r="K1464"/>
  <c r="N1464"/>
  <c r="W1464"/>
  <c r="H1465"/>
  <c r="I1465"/>
  <c r="K1465"/>
  <c r="N1465"/>
  <c r="W1465"/>
  <c r="H1466"/>
  <c r="I1466"/>
  <c r="K1466"/>
  <c r="N1466"/>
  <c r="W1466"/>
  <c r="H1467"/>
  <c r="I1467"/>
  <c r="K1467"/>
  <c r="N1467"/>
  <c r="W1467"/>
  <c r="H1468"/>
  <c r="I1468"/>
  <c r="K1468"/>
  <c r="N1468"/>
  <c r="W1468"/>
  <c r="H1469"/>
  <c r="I1469"/>
  <c r="K1469"/>
  <c r="N1469"/>
  <c r="W1469"/>
  <c r="H1470"/>
  <c r="I1470"/>
  <c r="K1470"/>
  <c r="N1470"/>
  <c r="W1470"/>
  <c r="H1471"/>
  <c r="I1471"/>
  <c r="K1471"/>
  <c r="N1471"/>
  <c r="W1471"/>
  <c r="H1472"/>
  <c r="I1472"/>
  <c r="K1472"/>
  <c r="N1472"/>
  <c r="W1472"/>
  <c r="H1473"/>
  <c r="I1473"/>
  <c r="K1473"/>
  <c r="N1473"/>
  <c r="W1473"/>
  <c r="H1474"/>
  <c r="I1474"/>
  <c r="K1474"/>
  <c r="N1474"/>
  <c r="W1474"/>
  <c r="H1475"/>
  <c r="I1475"/>
  <c r="K1475"/>
  <c r="N1475"/>
  <c r="W1475"/>
  <c r="H1476"/>
  <c r="I1476"/>
  <c r="K1476"/>
  <c r="N1476"/>
  <c r="W1476"/>
  <c r="H1477"/>
  <c r="I1477"/>
  <c r="K1477"/>
  <c r="N1477"/>
  <c r="W1477"/>
  <c r="H1478"/>
  <c r="I1478"/>
  <c r="K1478"/>
  <c r="N1478"/>
  <c r="W1478"/>
  <c r="H1479"/>
  <c r="I1479"/>
  <c r="K1479"/>
  <c r="N1479"/>
  <c r="W1479"/>
  <c r="H1480"/>
  <c r="I1480"/>
  <c r="K1480"/>
  <c r="N1480"/>
  <c r="W1480"/>
  <c r="H1481"/>
  <c r="I1481"/>
  <c r="K1481"/>
  <c r="N1481"/>
  <c r="W1481"/>
  <c r="H1482"/>
  <c r="I1482"/>
  <c r="K1482"/>
  <c r="N1482"/>
  <c r="W1482"/>
  <c r="H1483"/>
  <c r="I1483"/>
  <c r="K1483"/>
  <c r="N1483"/>
  <c r="W1483"/>
  <c r="H1484"/>
  <c r="I1484"/>
  <c r="K1484"/>
  <c r="N1484"/>
  <c r="W1484"/>
  <c r="H1485"/>
  <c r="I1485"/>
  <c r="K1485"/>
  <c r="N1485"/>
  <c r="W1485"/>
  <c r="H1486"/>
  <c r="I1486"/>
  <c r="K1486"/>
  <c r="N1486"/>
  <c r="W1486"/>
  <c r="H1487"/>
  <c r="I1487"/>
  <c r="K1487"/>
  <c r="N1487"/>
  <c r="W1487"/>
  <c r="H1488"/>
  <c r="I1488"/>
  <c r="K1488"/>
  <c r="N1488"/>
  <c r="W1488"/>
  <c r="H1489"/>
  <c r="I1489"/>
  <c r="K1489"/>
  <c r="N1489"/>
  <c r="W1489"/>
  <c r="H1490"/>
  <c r="I1490"/>
  <c r="K1490"/>
  <c r="N1490"/>
  <c r="W1490"/>
  <c r="H1491"/>
  <c r="I1491"/>
  <c r="K1491"/>
  <c r="N1491"/>
  <c r="W1491"/>
  <c r="H1492"/>
  <c r="I1492"/>
  <c r="K1492"/>
  <c r="N1492"/>
  <c r="W1492"/>
  <c r="H1493"/>
  <c r="I1493"/>
  <c r="K1493"/>
  <c r="N1493"/>
  <c r="W1493"/>
  <c r="H1494"/>
  <c r="I1494"/>
  <c r="K1494"/>
  <c r="N1494"/>
  <c r="W1494"/>
  <c r="H1495"/>
  <c r="I1495"/>
  <c r="K1495"/>
  <c r="N1495"/>
  <c r="W1495"/>
  <c r="H1496"/>
  <c r="I1496"/>
  <c r="K1496"/>
  <c r="N1496"/>
  <c r="W1496"/>
  <c r="H1497"/>
  <c r="I1497"/>
  <c r="K1497"/>
  <c r="N1497"/>
  <c r="W1497"/>
  <c r="H1498"/>
  <c r="I1498"/>
  <c r="K1498"/>
  <c r="N1498"/>
  <c r="W1498"/>
  <c r="H1499"/>
  <c r="I1499"/>
  <c r="K1499"/>
  <c r="N1499"/>
  <c r="W1499"/>
  <c r="H1500"/>
  <c r="I1500"/>
  <c r="K1500"/>
  <c r="N1500"/>
  <c r="W1500"/>
  <c r="H1501"/>
  <c r="I1501"/>
  <c r="K1501"/>
  <c r="N1501"/>
  <c r="W1501"/>
  <c r="H1502"/>
  <c r="I1502"/>
  <c r="K1502"/>
  <c r="N1502"/>
  <c r="W1502"/>
  <c r="H1503"/>
  <c r="I1503"/>
  <c r="K1503"/>
  <c r="N1503"/>
  <c r="W1503"/>
  <c r="H1504"/>
  <c r="I1504"/>
  <c r="K1504"/>
  <c r="N1504"/>
  <c r="W1504"/>
  <c r="H1505"/>
  <c r="I1505"/>
  <c r="K1505"/>
  <c r="N1505"/>
  <c r="W1505"/>
  <c r="H1506"/>
  <c r="I1506"/>
  <c r="K1506"/>
  <c r="N1506"/>
  <c r="W1506"/>
  <c r="H1507"/>
  <c r="I1507"/>
  <c r="K1507"/>
  <c r="N1507"/>
  <c r="W1507"/>
  <c r="H1508"/>
  <c r="I1508"/>
  <c r="K1508"/>
  <c r="N1508"/>
  <c r="W1508"/>
  <c r="H1509"/>
  <c r="I1509"/>
  <c r="K1509"/>
  <c r="N1509"/>
  <c r="W1509"/>
  <c r="H1510"/>
  <c r="I1510"/>
  <c r="K1510"/>
  <c r="N1510"/>
  <c r="W1510"/>
  <c r="H1511"/>
  <c r="I1511"/>
  <c r="K1511"/>
  <c r="N1511"/>
  <c r="W1511"/>
  <c r="H1512"/>
  <c r="I1512"/>
  <c r="K1512"/>
  <c r="N1512"/>
  <c r="W1512"/>
  <c r="H1513"/>
  <c r="I1513"/>
  <c r="K1513"/>
  <c r="N1513"/>
  <c r="W1513"/>
  <c r="H1514"/>
  <c r="I1514"/>
  <c r="K1514"/>
  <c r="N1514"/>
  <c r="W1514"/>
  <c r="H1515"/>
  <c r="I1515"/>
  <c r="K1515"/>
  <c r="N1515"/>
  <c r="W1515"/>
  <c r="H1516"/>
  <c r="I1516"/>
  <c r="K1516"/>
  <c r="N1516"/>
  <c r="W1516"/>
  <c r="H1517"/>
  <c r="I1517"/>
  <c r="K1517"/>
  <c r="N1517"/>
  <c r="W1517"/>
  <c r="H1518"/>
  <c r="I1518"/>
  <c r="K1518"/>
  <c r="N1518"/>
  <c r="W1518"/>
  <c r="H1519"/>
  <c r="I1519"/>
  <c r="K1519"/>
  <c r="N1519"/>
  <c r="W1519"/>
  <c r="H1520"/>
  <c r="I1520"/>
  <c r="K1520"/>
  <c r="N1520"/>
  <c r="W1520"/>
  <c r="H1521"/>
  <c r="I1521"/>
  <c r="K1521"/>
  <c r="N1521"/>
  <c r="W1521"/>
  <c r="H1522"/>
  <c r="I1522"/>
  <c r="K1522"/>
  <c r="N1522"/>
  <c r="W1522"/>
  <c r="H1523"/>
  <c r="I1523"/>
  <c r="K1523"/>
  <c r="N1523"/>
  <c r="W1523"/>
  <c r="H1524"/>
  <c r="I1524"/>
  <c r="K1524"/>
  <c r="N1524"/>
  <c r="W1524"/>
  <c r="H1525"/>
  <c r="I1525"/>
  <c r="K1525"/>
  <c r="N1525"/>
  <c r="W1525"/>
  <c r="H1526"/>
  <c r="I1526"/>
  <c r="K1526"/>
  <c r="N1526"/>
  <c r="W1526"/>
  <c r="H1527"/>
  <c r="I1527"/>
  <c r="K1527"/>
  <c r="N1527"/>
  <c r="W1527"/>
  <c r="H1528"/>
  <c r="I1528"/>
  <c r="K1528"/>
  <c r="N1528"/>
  <c r="W1528"/>
  <c r="H1529"/>
  <c r="I1529"/>
  <c r="K1529"/>
  <c r="N1529"/>
  <c r="W1529"/>
  <c r="H1530"/>
  <c r="I1530"/>
  <c r="K1530"/>
  <c r="N1530"/>
  <c r="W1530"/>
  <c r="H1531"/>
  <c r="I1531"/>
  <c r="K1531"/>
  <c r="N1531"/>
  <c r="W1531"/>
  <c r="H1532"/>
  <c r="I1532"/>
  <c r="K1532"/>
  <c r="N1532"/>
  <c r="W1532"/>
  <c r="H1533"/>
  <c r="I1533"/>
  <c r="K1533"/>
  <c r="N1533"/>
  <c r="W1533"/>
  <c r="H1534"/>
  <c r="I1534"/>
  <c r="K1534"/>
  <c r="N1534"/>
  <c r="W1534"/>
  <c r="H1535"/>
  <c r="I1535"/>
  <c r="K1535"/>
  <c r="N1535"/>
  <c r="W1535"/>
  <c r="H1536"/>
  <c r="I1536"/>
  <c r="K1536"/>
  <c r="N1536"/>
  <c r="W1536"/>
  <c r="H1537"/>
  <c r="I1537"/>
  <c r="K1537"/>
  <c r="N1537"/>
  <c r="W1537"/>
  <c r="H1538"/>
  <c r="I1538"/>
  <c r="K1538"/>
  <c r="N1538"/>
  <c r="W1538"/>
  <c r="H1539"/>
  <c r="I1539"/>
  <c r="K1539"/>
  <c r="N1539"/>
  <c r="W1539"/>
  <c r="H1540"/>
  <c r="I1540"/>
  <c r="K1540"/>
  <c r="N1540"/>
  <c r="W1540"/>
  <c r="H1541"/>
  <c r="I1541"/>
  <c r="K1541"/>
  <c r="N1541"/>
  <c r="W1541"/>
  <c r="H1542"/>
  <c r="I1542"/>
  <c r="K1542"/>
  <c r="N1542"/>
  <c r="W1542"/>
  <c r="H1543"/>
  <c r="I1543"/>
  <c r="K1543"/>
  <c r="N1543"/>
  <c r="W1543"/>
  <c r="H1544"/>
  <c r="I1544"/>
  <c r="K1544"/>
  <c r="N1544"/>
  <c r="W1544"/>
  <c r="H1545"/>
  <c r="I1545"/>
  <c r="K1545"/>
  <c r="N1545"/>
  <c r="W1545"/>
  <c r="H1546"/>
  <c r="I1546"/>
  <c r="K1546"/>
  <c r="N1546"/>
  <c r="W1546"/>
  <c r="H1547"/>
  <c r="I1547"/>
  <c r="K1547"/>
  <c r="N1547"/>
  <c r="W1547"/>
  <c r="H1548"/>
  <c r="I1548"/>
  <c r="K1548"/>
  <c r="N1548"/>
  <c r="W1548"/>
  <c r="H1549"/>
  <c r="I1549"/>
  <c r="K1549"/>
  <c r="N1549"/>
  <c r="W1549"/>
  <c r="H1550"/>
  <c r="I1550"/>
  <c r="K1550"/>
  <c r="N1550"/>
  <c r="W1550"/>
  <c r="H1551"/>
  <c r="I1551"/>
  <c r="K1551"/>
  <c r="N1551"/>
  <c r="W1551"/>
  <c r="H1552"/>
  <c r="I1552"/>
  <c r="K1552"/>
  <c r="N1552"/>
  <c r="W1552"/>
  <c r="H1553"/>
  <c r="I1553"/>
  <c r="K1553"/>
  <c r="N1553"/>
  <c r="W1553"/>
  <c r="H1554"/>
  <c r="I1554"/>
  <c r="K1554"/>
  <c r="N1554"/>
  <c r="W1554"/>
  <c r="H1555"/>
  <c r="I1555"/>
  <c r="K1555"/>
  <c r="N1555"/>
  <c r="W1555"/>
  <c r="H1556"/>
  <c r="I1556"/>
  <c r="K1556"/>
  <c r="N1556"/>
  <c r="W1556"/>
  <c r="H1557"/>
  <c r="I1557"/>
  <c r="K1557"/>
  <c r="N1557"/>
  <c r="W1557"/>
  <c r="H1558"/>
  <c r="I1558"/>
  <c r="K1558"/>
  <c r="N1558"/>
  <c r="W1558"/>
  <c r="H1559"/>
  <c r="I1559"/>
  <c r="K1559"/>
  <c r="N1559"/>
  <c r="W1559"/>
  <c r="H1560"/>
  <c r="I1560"/>
  <c r="K1560"/>
  <c r="N1560"/>
  <c r="W1560"/>
  <c r="H1561"/>
  <c r="I1561"/>
  <c r="K1561"/>
  <c r="N1561"/>
  <c r="W1561"/>
  <c r="H1562"/>
  <c r="I1562"/>
  <c r="K1562"/>
  <c r="N1562"/>
  <c r="W1562"/>
  <c r="H1563"/>
  <c r="I1563"/>
  <c r="K1563"/>
  <c r="N1563"/>
  <c r="W1563"/>
  <c r="H1564"/>
  <c r="I1564"/>
  <c r="K1564"/>
  <c r="N1564"/>
  <c r="W1564"/>
  <c r="H1565"/>
  <c r="I1565"/>
  <c r="K1565"/>
  <c r="N1565"/>
  <c r="W1565"/>
  <c r="H1566"/>
  <c r="I1566"/>
  <c r="K1566"/>
  <c r="N1566"/>
  <c r="W1566"/>
  <c r="H1567"/>
  <c r="I1567"/>
  <c r="K1567"/>
  <c r="N1567"/>
  <c r="W1567"/>
  <c r="H1568"/>
  <c r="I1568"/>
  <c r="K1568"/>
  <c r="N1568"/>
  <c r="W1568"/>
  <c r="H1569"/>
  <c r="I1569"/>
  <c r="K1569"/>
  <c r="N1569"/>
  <c r="W1569"/>
  <c r="H1570"/>
  <c r="I1570"/>
  <c r="K1570"/>
  <c r="N1570"/>
  <c r="W1570"/>
  <c r="H1571"/>
  <c r="I1571"/>
  <c r="K1571"/>
  <c r="N1571"/>
  <c r="W1571"/>
  <c r="H1572"/>
  <c r="I1572"/>
  <c r="K1572"/>
  <c r="N1572"/>
  <c r="W1572"/>
  <c r="H1573"/>
  <c r="I1573"/>
  <c r="K1573"/>
  <c r="N1573"/>
  <c r="W1573"/>
  <c r="H1574"/>
  <c r="I1574"/>
  <c r="K1574"/>
  <c r="N1574"/>
  <c r="W1574"/>
  <c r="H1575"/>
  <c r="I1575"/>
  <c r="K1575"/>
  <c r="N1575"/>
  <c r="W1575"/>
  <c r="H1576"/>
  <c r="I1576"/>
  <c r="K1576"/>
  <c r="N1576"/>
  <c r="W1576"/>
  <c r="H1577"/>
  <c r="I1577"/>
  <c r="K1577"/>
  <c r="N1577"/>
  <c r="W1577"/>
  <c r="H1578"/>
  <c r="I1578"/>
  <c r="K1578"/>
  <c r="N1578"/>
  <c r="W1578"/>
  <c r="H1579"/>
  <c r="I1579"/>
  <c r="K1579"/>
  <c r="N1579"/>
  <c r="W1579"/>
  <c r="H1580"/>
  <c r="I1580"/>
  <c r="K1580"/>
  <c r="N1580"/>
  <c r="W1580"/>
  <c r="H1581"/>
  <c r="I1581"/>
  <c r="K1581"/>
  <c r="N1581"/>
  <c r="W1581"/>
  <c r="H1582"/>
  <c r="I1582"/>
  <c r="K1582"/>
  <c r="N1582"/>
  <c r="W1582"/>
  <c r="H1583"/>
  <c r="I1583"/>
  <c r="K1583"/>
  <c r="N1583"/>
  <c r="W1583"/>
  <c r="H1584"/>
  <c r="I1584"/>
  <c r="K1584"/>
  <c r="N1584"/>
  <c r="W1584"/>
  <c r="H1585"/>
  <c r="I1585"/>
  <c r="K1585"/>
  <c r="N1585"/>
  <c r="W1585"/>
  <c r="H1586"/>
  <c r="I1586"/>
  <c r="K1586"/>
  <c r="N1586"/>
  <c r="W1586"/>
  <c r="H1587"/>
  <c r="I1587"/>
  <c r="K1587"/>
  <c r="N1587"/>
  <c r="W1587"/>
  <c r="H1588"/>
  <c r="I1588"/>
  <c r="K1588"/>
  <c r="N1588"/>
  <c r="W1588"/>
  <c r="H1589"/>
  <c r="I1589"/>
  <c r="K1589"/>
  <c r="N1589"/>
  <c r="W1589"/>
  <c r="H1590"/>
  <c r="I1590"/>
  <c r="K1590"/>
  <c r="N1590"/>
  <c r="W1590"/>
  <c r="H1591"/>
  <c r="I1591"/>
  <c r="K1591"/>
  <c r="N1591"/>
  <c r="W1591"/>
  <c r="H1592"/>
  <c r="I1592"/>
  <c r="K1592"/>
  <c r="N1592"/>
  <c r="W1592"/>
  <c r="H1593"/>
  <c r="I1593"/>
  <c r="K1593"/>
  <c r="N1593"/>
  <c r="W1593"/>
  <c r="H1594"/>
  <c r="I1594"/>
  <c r="K1594"/>
  <c r="N1594"/>
  <c r="W1594"/>
  <c r="H1595"/>
  <c r="I1595"/>
  <c r="K1595"/>
  <c r="N1595"/>
  <c r="W1595"/>
  <c r="H1596"/>
  <c r="I1596"/>
  <c r="K1596"/>
  <c r="N1596"/>
  <c r="W1596"/>
  <c r="H1597"/>
  <c r="I1597"/>
  <c r="K1597"/>
  <c r="N1597"/>
  <c r="W1597"/>
  <c r="H1598"/>
  <c r="I1598"/>
  <c r="K1598"/>
  <c r="N1598"/>
  <c r="W1598"/>
  <c r="H1599"/>
  <c r="I1599"/>
  <c r="K1599"/>
  <c r="N1599"/>
  <c r="W1599"/>
  <c r="H1600"/>
  <c r="I1600"/>
  <c r="K1600"/>
  <c r="N1600"/>
  <c r="W1600"/>
  <c r="H1601"/>
  <c r="I1601"/>
  <c r="K1601"/>
  <c r="N1601"/>
  <c r="W1601"/>
  <c r="H1602"/>
  <c r="I1602"/>
  <c r="K1602"/>
  <c r="N1602"/>
  <c r="W1602"/>
  <c r="H1603"/>
  <c r="I1603"/>
  <c r="K1603"/>
  <c r="N1603"/>
  <c r="W1603"/>
  <c r="H1604"/>
  <c r="I1604"/>
  <c r="K1604"/>
  <c r="N1604"/>
  <c r="W1604"/>
  <c r="H1605"/>
  <c r="I1605"/>
  <c r="K1605"/>
  <c r="N1605"/>
  <c r="W1605"/>
  <c r="H1606"/>
  <c r="I1606"/>
  <c r="K1606"/>
  <c r="N1606"/>
  <c r="W1606"/>
  <c r="H1607"/>
  <c r="I1607"/>
  <c r="K1607"/>
  <c r="N1607"/>
  <c r="W1607"/>
  <c r="H1608"/>
  <c r="I1608"/>
  <c r="K1608"/>
  <c r="N1608"/>
  <c r="W1608"/>
  <c r="H1609"/>
  <c r="I1609"/>
  <c r="K1609"/>
  <c r="N1609"/>
  <c r="W1609"/>
  <c r="H1610"/>
  <c r="I1610"/>
  <c r="K1610"/>
  <c r="N1610"/>
  <c r="W1610"/>
  <c r="H1611"/>
  <c r="I1611"/>
  <c r="K1611"/>
  <c r="N1611"/>
  <c r="W1611"/>
  <c r="H1612"/>
  <c r="I1612"/>
  <c r="K1612"/>
  <c r="N1612"/>
  <c r="W1612"/>
  <c r="H1613"/>
  <c r="I1613"/>
  <c r="K1613"/>
  <c r="N1613"/>
  <c r="W1613"/>
  <c r="H1614"/>
  <c r="I1614"/>
  <c r="K1614"/>
  <c r="N1614"/>
  <c r="W1614"/>
  <c r="H1615"/>
  <c r="I1615"/>
  <c r="K1615"/>
  <c r="N1615"/>
  <c r="W1615"/>
  <c r="H1616"/>
  <c r="I1616"/>
  <c r="K1616"/>
  <c r="N1616"/>
  <c r="W1616"/>
  <c r="H1617"/>
  <c r="I1617"/>
  <c r="K1617"/>
  <c r="N1617"/>
  <c r="W1617"/>
  <c r="H1618"/>
  <c r="I1618"/>
  <c r="K1618"/>
  <c r="N1618"/>
  <c r="W1618"/>
  <c r="H1619"/>
  <c r="I1619"/>
  <c r="K1619"/>
  <c r="N1619"/>
  <c r="W1619"/>
  <c r="H1620"/>
  <c r="I1620"/>
  <c r="K1620"/>
  <c r="N1620"/>
  <c r="W1620"/>
  <c r="H1621"/>
  <c r="I1621"/>
  <c r="K1621"/>
  <c r="N1621"/>
  <c r="W1621"/>
  <c r="H1622"/>
  <c r="I1622"/>
  <c r="K1622"/>
  <c r="N1622"/>
  <c r="W1622"/>
  <c r="H1623"/>
  <c r="I1623"/>
  <c r="K1623"/>
  <c r="N1623"/>
  <c r="W1623"/>
  <c r="H1624"/>
  <c r="I1624"/>
  <c r="K1624"/>
  <c r="N1624"/>
  <c r="W1624"/>
  <c r="H1625"/>
  <c r="I1625"/>
  <c r="K1625"/>
  <c r="N1625"/>
  <c r="W1625"/>
  <c r="H1626"/>
  <c r="I1626"/>
  <c r="K1626"/>
  <c r="N1626"/>
  <c r="W1626"/>
  <c r="H1627"/>
  <c r="I1627"/>
  <c r="K1627"/>
  <c r="N1627"/>
  <c r="W1627"/>
  <c r="H1628"/>
  <c r="I1628"/>
  <c r="K1628"/>
  <c r="N1628"/>
  <c r="W1628"/>
  <c r="H1629"/>
  <c r="I1629"/>
  <c r="K1629"/>
  <c r="N1629"/>
  <c r="W1629"/>
  <c r="H1630"/>
  <c r="I1630"/>
  <c r="K1630"/>
  <c r="N1630"/>
  <c r="W1630"/>
  <c r="H1631"/>
  <c r="I1631"/>
  <c r="K1631"/>
  <c r="N1631"/>
  <c r="W1631"/>
  <c r="H1632"/>
  <c r="I1632"/>
  <c r="K1632"/>
  <c r="N1632"/>
  <c r="W1632"/>
  <c r="H1633"/>
  <c r="I1633"/>
  <c r="K1633"/>
  <c r="N1633"/>
  <c r="W1633"/>
  <c r="H1634"/>
  <c r="I1634"/>
  <c r="K1634"/>
  <c r="N1634"/>
  <c r="W1634"/>
  <c r="H1635"/>
  <c r="I1635"/>
  <c r="K1635"/>
  <c r="N1635"/>
  <c r="W1635"/>
  <c r="H1636"/>
  <c r="I1636"/>
  <c r="K1636"/>
  <c r="N1636"/>
  <c r="W1636"/>
  <c r="H1637"/>
  <c r="I1637"/>
  <c r="K1637"/>
  <c r="N1637"/>
  <c r="W1637"/>
  <c r="H1638"/>
  <c r="I1638"/>
  <c r="K1638"/>
  <c r="N1638"/>
  <c r="W1638"/>
  <c r="H1639"/>
  <c r="I1639"/>
  <c r="K1639"/>
  <c r="N1639"/>
  <c r="W1639"/>
  <c r="H1640"/>
  <c r="I1640"/>
  <c r="K1640"/>
  <c r="N1640"/>
  <c r="W1640"/>
  <c r="H1641"/>
  <c r="I1641"/>
  <c r="K1641"/>
  <c r="N1641"/>
  <c r="W1641"/>
  <c r="H1642"/>
  <c r="I1642"/>
  <c r="K1642"/>
  <c r="N1642"/>
  <c r="W1642"/>
  <c r="H1643"/>
  <c r="I1643"/>
  <c r="K1643"/>
  <c r="N1643"/>
  <c r="W1643"/>
  <c r="H1644"/>
  <c r="I1644"/>
  <c r="K1644"/>
  <c r="N1644"/>
  <c r="W1644"/>
  <c r="H1645"/>
  <c r="I1645"/>
  <c r="K1645"/>
  <c r="N1645"/>
  <c r="W1645"/>
  <c r="H1646"/>
  <c r="I1646"/>
  <c r="K1646"/>
  <c r="N1646"/>
  <c r="W1646"/>
  <c r="H1647"/>
  <c r="I1647"/>
  <c r="K1647"/>
  <c r="N1647"/>
  <c r="W1647"/>
  <c r="H1648"/>
  <c r="I1648"/>
  <c r="K1648"/>
  <c r="N1648"/>
  <c r="W1648"/>
  <c r="H1649"/>
  <c r="I1649"/>
  <c r="K1649"/>
  <c r="N1649"/>
  <c r="W1649"/>
  <c r="H1650"/>
  <c r="I1650"/>
  <c r="K1650"/>
  <c r="N1650"/>
  <c r="W1650"/>
  <c r="H1651"/>
  <c r="I1651"/>
  <c r="K1651"/>
  <c r="N1651"/>
  <c r="W1651"/>
  <c r="H1652"/>
  <c r="I1652"/>
  <c r="K1652"/>
  <c r="N1652"/>
  <c r="W1652"/>
  <c r="H1653"/>
  <c r="I1653"/>
  <c r="K1653"/>
  <c r="N1653"/>
  <c r="W1653"/>
  <c r="H1654"/>
  <c r="I1654"/>
  <c r="K1654"/>
  <c r="N1654"/>
  <c r="W1654"/>
  <c r="H1655"/>
  <c r="I1655"/>
  <c r="K1655"/>
  <c r="N1655"/>
  <c r="W1655"/>
  <c r="H1656"/>
  <c r="I1656"/>
  <c r="K1656"/>
  <c r="N1656"/>
  <c r="W1656"/>
  <c r="H1657"/>
  <c r="I1657"/>
  <c r="K1657"/>
  <c r="N1657"/>
  <c r="W1657"/>
  <c r="H1658"/>
  <c r="I1658"/>
  <c r="K1658"/>
  <c r="N1658"/>
  <c r="W1658"/>
  <c r="H1659"/>
  <c r="I1659"/>
  <c r="K1659"/>
  <c r="N1659"/>
  <c r="W1659"/>
  <c r="H1660"/>
  <c r="I1660"/>
  <c r="K1660"/>
  <c r="N1660"/>
  <c r="W1660"/>
  <c r="H1661"/>
  <c r="I1661"/>
  <c r="K1661"/>
  <c r="N1661"/>
  <c r="W1661"/>
  <c r="H1662"/>
  <c r="I1662"/>
  <c r="K1662"/>
  <c r="N1662"/>
  <c r="W1662"/>
  <c r="H1663"/>
  <c r="I1663"/>
  <c r="K1663"/>
  <c r="N1663"/>
  <c r="W1663"/>
  <c r="H1664"/>
  <c r="I1664"/>
  <c r="K1664"/>
  <c r="N1664"/>
  <c r="W1664"/>
  <c r="H1665"/>
  <c r="I1665"/>
  <c r="K1665"/>
  <c r="N1665"/>
  <c r="W1665"/>
  <c r="H1666"/>
  <c r="I1666"/>
  <c r="K1666"/>
  <c r="N1666"/>
  <c r="W1666"/>
  <c r="H1667"/>
  <c r="I1667"/>
  <c r="K1667"/>
  <c r="N1667"/>
  <c r="W1667"/>
  <c r="H1668"/>
  <c r="I1668"/>
  <c r="K1668"/>
  <c r="N1668"/>
  <c r="W1668"/>
  <c r="H1669"/>
  <c r="I1669"/>
  <c r="K1669"/>
  <c r="N1669"/>
  <c r="W1669"/>
  <c r="H1670"/>
  <c r="I1670"/>
  <c r="K1670"/>
  <c r="N1670"/>
  <c r="W1670"/>
  <c r="H1671"/>
  <c r="I1671"/>
  <c r="K1671"/>
  <c r="N1671"/>
  <c r="W1671"/>
  <c r="H1672"/>
  <c r="I1672"/>
  <c r="K1672"/>
  <c r="N1672"/>
  <c r="W1672"/>
  <c r="H1673"/>
  <c r="I1673"/>
  <c r="K1673"/>
  <c r="N1673"/>
  <c r="W1673"/>
  <c r="H1674"/>
  <c r="I1674"/>
  <c r="K1674"/>
  <c r="N1674"/>
  <c r="W1674"/>
  <c r="H1675"/>
  <c r="I1675"/>
  <c r="K1675"/>
  <c r="N1675"/>
  <c r="W1675"/>
  <c r="H1676"/>
  <c r="I1676"/>
  <c r="K1676"/>
  <c r="N1676"/>
  <c r="W1676"/>
  <c r="H1677"/>
  <c r="I1677"/>
  <c r="K1677"/>
  <c r="N1677"/>
  <c r="W1677"/>
  <c r="H1678"/>
  <c r="I1678"/>
  <c r="K1678"/>
  <c r="N1678"/>
  <c r="W1678"/>
  <c r="H1679"/>
  <c r="I1679"/>
  <c r="K1679"/>
  <c r="N1679"/>
  <c r="W1679"/>
  <c r="H1680"/>
  <c r="I1680"/>
  <c r="K1680"/>
  <c r="N1680"/>
  <c r="W1680"/>
  <c r="H1681"/>
  <c r="I1681"/>
  <c r="K1681"/>
  <c r="N1681"/>
  <c r="W1681"/>
  <c r="H1682"/>
  <c r="I1682"/>
  <c r="K1682"/>
  <c r="N1682"/>
  <c r="W1682"/>
  <c r="H1683"/>
  <c r="I1683"/>
  <c r="K1683"/>
  <c r="N1683"/>
  <c r="W1683"/>
  <c r="H1684"/>
  <c r="I1684"/>
  <c r="K1684"/>
  <c r="N1684"/>
  <c r="W1684"/>
  <c r="H1685"/>
  <c r="I1685"/>
  <c r="K1685"/>
  <c r="N1685"/>
  <c r="W1685"/>
  <c r="H1686"/>
  <c r="I1686"/>
  <c r="K1686"/>
  <c r="N1686"/>
  <c r="W1686"/>
  <c r="H1687"/>
  <c r="I1687"/>
  <c r="K1687"/>
  <c r="N1687"/>
  <c r="W1687"/>
  <c r="H1688"/>
  <c r="I1688"/>
  <c r="K1688"/>
  <c r="N1688"/>
  <c r="W1688"/>
  <c r="H1689"/>
  <c r="I1689"/>
  <c r="K1689"/>
  <c r="N1689"/>
  <c r="W1689"/>
  <c r="H1690"/>
  <c r="I1690"/>
  <c r="K1690"/>
  <c r="N1690"/>
  <c r="W1690"/>
  <c r="H1691"/>
  <c r="I1691"/>
  <c r="K1691"/>
  <c r="N1691"/>
  <c r="W1691"/>
  <c r="H1692"/>
  <c r="I1692"/>
  <c r="K1692"/>
  <c r="N1692"/>
  <c r="W1692"/>
  <c r="H1693"/>
  <c r="I1693"/>
  <c r="K1693"/>
  <c r="N1693"/>
  <c r="W1693"/>
  <c r="H1694"/>
  <c r="I1694"/>
  <c r="K1694"/>
  <c r="N1694"/>
  <c r="W1694"/>
  <c r="H1695"/>
  <c r="I1695"/>
  <c r="K1695"/>
  <c r="N1695"/>
  <c r="W1695"/>
  <c r="H1696"/>
  <c r="I1696"/>
  <c r="K1696"/>
  <c r="N1696"/>
  <c r="W1696"/>
  <c r="H1697"/>
  <c r="I1697"/>
  <c r="K1697"/>
  <c r="N1697"/>
  <c r="W1697"/>
  <c r="H1698"/>
  <c r="I1698"/>
  <c r="K1698"/>
  <c r="N1698"/>
  <c r="W1698"/>
  <c r="H1699"/>
  <c r="I1699"/>
  <c r="K1699"/>
  <c r="N1699"/>
  <c r="W1699"/>
  <c r="H1700"/>
  <c r="I1700"/>
  <c r="K1700"/>
  <c r="N1700"/>
  <c r="W1700"/>
  <c r="H1701"/>
  <c r="I1701"/>
  <c r="K1701"/>
  <c r="N1701"/>
  <c r="W1701"/>
  <c r="H1702"/>
  <c r="I1702"/>
  <c r="K1702"/>
  <c r="N1702"/>
  <c r="W1702"/>
  <c r="H1703"/>
  <c r="I1703"/>
  <c r="K1703"/>
  <c r="N1703"/>
  <c r="W1703"/>
  <c r="H1704"/>
  <c r="I1704"/>
  <c r="K1704"/>
  <c r="N1704"/>
  <c r="W1704"/>
  <c r="H1705"/>
  <c r="I1705"/>
  <c r="K1705"/>
  <c r="N1705"/>
  <c r="W1705"/>
  <c r="H1706"/>
  <c r="I1706"/>
  <c r="K1706"/>
  <c r="N1706"/>
  <c r="W1706"/>
  <c r="H1707"/>
  <c r="I1707"/>
  <c r="K1707"/>
  <c r="N1707"/>
  <c r="W1707"/>
  <c r="H1708"/>
  <c r="I1708"/>
  <c r="K1708"/>
  <c r="N1708"/>
  <c r="W1708"/>
  <c r="H1709"/>
  <c r="I1709"/>
  <c r="K1709"/>
  <c r="N1709"/>
  <c r="W1709"/>
  <c r="H1710"/>
  <c r="I1710"/>
  <c r="K1710"/>
  <c r="N1710"/>
  <c r="W1710"/>
  <c r="H1711"/>
  <c r="I1711"/>
  <c r="K1711"/>
  <c r="N1711"/>
  <c r="W1711"/>
  <c r="H1712"/>
  <c r="I1712"/>
  <c r="K1712"/>
  <c r="N1712"/>
  <c r="W1712"/>
  <c r="H1713"/>
  <c r="I1713"/>
  <c r="K1713"/>
  <c r="N1713"/>
  <c r="W1713"/>
  <c r="H1714"/>
  <c r="I1714"/>
  <c r="K1714"/>
  <c r="N1714"/>
  <c r="W1714"/>
  <c r="H1715"/>
  <c r="I1715"/>
  <c r="K1715"/>
  <c r="N1715"/>
  <c r="W1715"/>
  <c r="H1716"/>
  <c r="I1716"/>
  <c r="K1716"/>
  <c r="N1716"/>
  <c r="W1716"/>
  <c r="H1717"/>
  <c r="I1717"/>
  <c r="K1717"/>
  <c r="N1717"/>
  <c r="W1717"/>
  <c r="H1718"/>
  <c r="I1718"/>
  <c r="K1718"/>
  <c r="N1718"/>
  <c r="W1718"/>
  <c r="H1719"/>
  <c r="I1719"/>
  <c r="K1719"/>
  <c r="N1719"/>
  <c r="W1719"/>
  <c r="H1720"/>
  <c r="I1720"/>
  <c r="K1720"/>
  <c r="N1720"/>
  <c r="W1720"/>
  <c r="H1721"/>
  <c r="I1721"/>
  <c r="K1721"/>
  <c r="N1721"/>
  <c r="W1721"/>
  <c r="H1722"/>
  <c r="I1722"/>
  <c r="K1722"/>
  <c r="N1722"/>
  <c r="W1722"/>
  <c r="H1723"/>
  <c r="I1723"/>
  <c r="K1723"/>
  <c r="N1723"/>
  <c r="W1723"/>
  <c r="H1724"/>
  <c r="I1724"/>
  <c r="K1724"/>
  <c r="N1724"/>
  <c r="W1724"/>
  <c r="H1725"/>
  <c r="I1725"/>
  <c r="K1725"/>
  <c r="N1725"/>
  <c r="W1725"/>
  <c r="H1726"/>
  <c r="I1726"/>
  <c r="K1726"/>
  <c r="N1726"/>
  <c r="W1726"/>
  <c r="H1727"/>
  <c r="I1727"/>
  <c r="K1727"/>
  <c r="N1727"/>
  <c r="W1727"/>
  <c r="H1728"/>
  <c r="I1728"/>
  <c r="K1728"/>
  <c r="N1728"/>
  <c r="W1728"/>
  <c r="H1729"/>
  <c r="I1729"/>
  <c r="K1729"/>
  <c r="N1729"/>
  <c r="W1729"/>
  <c r="H1730"/>
  <c r="I1730"/>
  <c r="K1730"/>
  <c r="N1730"/>
  <c r="W1730"/>
  <c r="H1731"/>
  <c r="I1731"/>
  <c r="K1731"/>
  <c r="N1731"/>
  <c r="W1731"/>
  <c r="H1732"/>
  <c r="I1732"/>
  <c r="K1732"/>
  <c r="N1732"/>
  <c r="W1732"/>
  <c r="H1733"/>
  <c r="I1733"/>
  <c r="K1733"/>
  <c r="N1733"/>
  <c r="W1733"/>
  <c r="H1734"/>
  <c r="I1734"/>
  <c r="K1734"/>
  <c r="N1734"/>
  <c r="W1734"/>
  <c r="H1735"/>
  <c r="I1735"/>
  <c r="K1735"/>
  <c r="N1735"/>
  <c r="W1735"/>
  <c r="H1736"/>
  <c r="I1736"/>
  <c r="K1736"/>
  <c r="N1736"/>
  <c r="W1736"/>
  <c r="H1737"/>
  <c r="I1737"/>
  <c r="K1737"/>
  <c r="N1737"/>
  <c r="W1737"/>
  <c r="H1738"/>
  <c r="I1738"/>
  <c r="K1738"/>
  <c r="N1738"/>
  <c r="W1738"/>
  <c r="H1739"/>
  <c r="I1739"/>
  <c r="K1739"/>
  <c r="N1739"/>
  <c r="W1739"/>
  <c r="H1740"/>
  <c r="I1740"/>
  <c r="K1740"/>
  <c r="N1740"/>
  <c r="W1740"/>
  <c r="H1741"/>
  <c r="I1741"/>
  <c r="K1741"/>
  <c r="N1741"/>
  <c r="W1741"/>
  <c r="H1742"/>
  <c r="I1742"/>
  <c r="K1742"/>
  <c r="N1742"/>
  <c r="W1742"/>
  <c r="H1743"/>
  <c r="I1743"/>
  <c r="K1743"/>
  <c r="N1743"/>
  <c r="W1743"/>
  <c r="H1744"/>
  <c r="I1744"/>
  <c r="K1744"/>
  <c r="N1744"/>
  <c r="W1744"/>
  <c r="H1745"/>
  <c r="I1745"/>
  <c r="K1745"/>
  <c r="N1745"/>
  <c r="W1745"/>
  <c r="H1746"/>
  <c r="I1746"/>
  <c r="K1746"/>
  <c r="N1746"/>
  <c r="W1746"/>
  <c r="H1747"/>
  <c r="I1747"/>
  <c r="K1747"/>
  <c r="N1747"/>
  <c r="W1747"/>
  <c r="H1748"/>
  <c r="I1748"/>
  <c r="K1748"/>
  <c r="N1748"/>
  <c r="W1748"/>
  <c r="H1749"/>
  <c r="I1749"/>
  <c r="K1749"/>
  <c r="N1749"/>
  <c r="W1749"/>
  <c r="H1750"/>
  <c r="I1750"/>
  <c r="K1750"/>
  <c r="N1750"/>
  <c r="W1750"/>
  <c r="H1751"/>
  <c r="I1751"/>
  <c r="K1751"/>
  <c r="N1751"/>
  <c r="W1751"/>
  <c r="H1752"/>
  <c r="I1752"/>
  <c r="K1752"/>
  <c r="N1752"/>
  <c r="W1752"/>
  <c r="H1753"/>
  <c r="I1753"/>
  <c r="K1753"/>
  <c r="N1753"/>
  <c r="W1753"/>
  <c r="H1754"/>
  <c r="I1754"/>
  <c r="K1754"/>
  <c r="N1754"/>
  <c r="W1754"/>
  <c r="H1755"/>
  <c r="I1755"/>
  <c r="K1755"/>
  <c r="N1755"/>
  <c r="W1755"/>
  <c r="H1756"/>
  <c r="I1756"/>
  <c r="K1756"/>
  <c r="N1756"/>
  <c r="W1756"/>
  <c r="H1757"/>
  <c r="I1757"/>
  <c r="K1757"/>
  <c r="N1757"/>
  <c r="W1757"/>
  <c r="H1758"/>
  <c r="I1758"/>
  <c r="K1758"/>
  <c r="N1758"/>
  <c r="W1758"/>
  <c r="H1759"/>
  <c r="I1759"/>
  <c r="K1759"/>
  <c r="N1759"/>
  <c r="W1759"/>
  <c r="H1760"/>
  <c r="I1760"/>
  <c r="K1760"/>
  <c r="N1760"/>
  <c r="W1760"/>
  <c r="H1761"/>
  <c r="I1761"/>
  <c r="K1761"/>
  <c r="N1761"/>
  <c r="W1761"/>
  <c r="H1762"/>
  <c r="I1762"/>
  <c r="K1762"/>
  <c r="N1762"/>
  <c r="W1762"/>
  <c r="H1763"/>
  <c r="I1763"/>
  <c r="K1763"/>
  <c r="N1763"/>
  <c r="W1763"/>
  <c r="H1764"/>
  <c r="I1764"/>
  <c r="K1764"/>
  <c r="N1764"/>
  <c r="W1764"/>
  <c r="H1765"/>
  <c r="I1765"/>
  <c r="K1765"/>
  <c r="N1765"/>
  <c r="W1765"/>
  <c r="H1766"/>
  <c r="I1766"/>
  <c r="K1766"/>
  <c r="N1766"/>
  <c r="W1766"/>
  <c r="H1767"/>
  <c r="I1767"/>
  <c r="K1767"/>
  <c r="N1767"/>
  <c r="W1767"/>
  <c r="H1768"/>
  <c r="I1768"/>
  <c r="K1768"/>
  <c r="N1768"/>
  <c r="W1768"/>
  <c r="H1769"/>
  <c r="I1769"/>
  <c r="K1769"/>
  <c r="N1769"/>
  <c r="W1769"/>
  <c r="H1770"/>
  <c r="I1770"/>
  <c r="K1770"/>
  <c r="N1770"/>
  <c r="W1770"/>
  <c r="H1771"/>
  <c r="I1771"/>
  <c r="K1771"/>
  <c r="N1771"/>
  <c r="W1771"/>
  <c r="H1772"/>
  <c r="I1772"/>
  <c r="K1772"/>
  <c r="N1772"/>
  <c r="W1772"/>
  <c r="H1773"/>
  <c r="I1773"/>
  <c r="K1773"/>
  <c r="N1773"/>
  <c r="W1773"/>
  <c r="H1774"/>
  <c r="I1774"/>
  <c r="K1774"/>
  <c r="N1774"/>
  <c r="W1774"/>
  <c r="H1775"/>
  <c r="I1775"/>
  <c r="K1775"/>
  <c r="N1775"/>
  <c r="W1775"/>
  <c r="H1776"/>
  <c r="I1776"/>
  <c r="K1776"/>
  <c r="N1776"/>
  <c r="W1776"/>
  <c r="H1777"/>
  <c r="I1777"/>
  <c r="K1777"/>
  <c r="N1777"/>
  <c r="W1777"/>
  <c r="H1778"/>
  <c r="I1778"/>
  <c r="K1778"/>
  <c r="N1778"/>
  <c r="W1778"/>
  <c r="H1779"/>
  <c r="I1779"/>
  <c r="K1779"/>
  <c r="N1779"/>
  <c r="W1779"/>
  <c r="H1780"/>
  <c r="I1780"/>
  <c r="K1780"/>
  <c r="N1780"/>
  <c r="W1780"/>
  <c r="H1781"/>
  <c r="I1781"/>
  <c r="K1781"/>
  <c r="N1781"/>
  <c r="W1781"/>
  <c r="H1782"/>
  <c r="I1782"/>
  <c r="K1782"/>
  <c r="N1782"/>
  <c r="W1782"/>
  <c r="H1783"/>
  <c r="I1783"/>
  <c r="K1783"/>
  <c r="N1783"/>
  <c r="W1783"/>
  <c r="H1784"/>
  <c r="I1784"/>
  <c r="K1784"/>
  <c r="N1784"/>
  <c r="W1784"/>
  <c r="H1785"/>
  <c r="I1785"/>
  <c r="K1785"/>
  <c r="N1785"/>
  <c r="W1785"/>
  <c r="H1786"/>
  <c r="I1786"/>
  <c r="K1786"/>
  <c r="N1786"/>
  <c r="W1786"/>
  <c r="H1787"/>
  <c r="I1787"/>
  <c r="K1787"/>
  <c r="N1787"/>
  <c r="W1787"/>
  <c r="H1788"/>
  <c r="I1788"/>
  <c r="K1788"/>
  <c r="N1788"/>
  <c r="W1788"/>
  <c r="H1789"/>
  <c r="I1789"/>
  <c r="K1789"/>
  <c r="N1789"/>
  <c r="W1789"/>
  <c r="H1790"/>
  <c r="I1790"/>
  <c r="K1790"/>
  <c r="N1790"/>
  <c r="W1790"/>
  <c r="H1791"/>
  <c r="I1791"/>
  <c r="K1791"/>
  <c r="N1791"/>
  <c r="W1791"/>
  <c r="H1792"/>
  <c r="I1792"/>
  <c r="K1792"/>
  <c r="N1792"/>
  <c r="W1792"/>
  <c r="H1793"/>
  <c r="I1793"/>
  <c r="K1793"/>
  <c r="N1793"/>
  <c r="W1793"/>
  <c r="H1794"/>
  <c r="I1794"/>
  <c r="K1794"/>
  <c r="N1794"/>
  <c r="W1794"/>
  <c r="H1795"/>
  <c r="I1795"/>
  <c r="K1795"/>
  <c r="N1795"/>
  <c r="W1795"/>
  <c r="H1796"/>
  <c r="I1796"/>
  <c r="K1796"/>
  <c r="N1796"/>
  <c r="W1796"/>
  <c r="H1797"/>
  <c r="I1797"/>
  <c r="K1797"/>
  <c r="N1797"/>
  <c r="W1797"/>
  <c r="H1798"/>
  <c r="I1798"/>
  <c r="K1798"/>
  <c r="N1798"/>
  <c r="W1798"/>
  <c r="H1799"/>
  <c r="I1799"/>
  <c r="K1799"/>
  <c r="N1799"/>
  <c r="W1799"/>
  <c r="H1800"/>
  <c r="I1800"/>
  <c r="K1800"/>
  <c r="N1800"/>
  <c r="W1800"/>
  <c r="H1801"/>
  <c r="I1801"/>
  <c r="K1801"/>
  <c r="N1801"/>
  <c r="W1801"/>
  <c r="H1802"/>
  <c r="I1802"/>
  <c r="K1802"/>
  <c r="N1802"/>
  <c r="W1802"/>
  <c r="H1803"/>
  <c r="I1803"/>
  <c r="K1803"/>
  <c r="N1803"/>
  <c r="W1803"/>
  <c r="H1804"/>
  <c r="I1804"/>
  <c r="K1804"/>
  <c r="N1804"/>
  <c r="W1804"/>
  <c r="H1805"/>
  <c r="I1805"/>
  <c r="K1805"/>
  <c r="N1805"/>
  <c r="W1805"/>
  <c r="H1806"/>
  <c r="I1806"/>
  <c r="K1806"/>
  <c r="N1806"/>
  <c r="W1806"/>
  <c r="H1807"/>
  <c r="I1807"/>
  <c r="K1807"/>
  <c r="N1807"/>
  <c r="W1807"/>
  <c r="H1808"/>
  <c r="I1808"/>
  <c r="K1808"/>
  <c r="N1808"/>
  <c r="W1808"/>
  <c r="H1809"/>
  <c r="I1809"/>
  <c r="K1809"/>
  <c r="N1809"/>
  <c r="W1809"/>
  <c r="H1810"/>
  <c r="I1810"/>
  <c r="K1810"/>
  <c r="N1810"/>
  <c r="W1810"/>
  <c r="H1811"/>
  <c r="I1811"/>
  <c r="K1811"/>
  <c r="N1811"/>
  <c r="W1811"/>
  <c r="H1812"/>
  <c r="I1812"/>
  <c r="K1812"/>
  <c r="N1812"/>
  <c r="W1812"/>
  <c r="H1813"/>
  <c r="I1813"/>
  <c r="K1813"/>
  <c r="N1813"/>
  <c r="W1813"/>
  <c r="H1814"/>
  <c r="I1814"/>
  <c r="K1814"/>
  <c r="N1814"/>
  <c r="W1814"/>
  <c r="H1815"/>
  <c r="I1815"/>
  <c r="K1815"/>
  <c r="N1815"/>
  <c r="W1815"/>
  <c r="H1816"/>
  <c r="I1816"/>
  <c r="K1816"/>
  <c r="N1816"/>
  <c r="W1816"/>
  <c r="H1817"/>
  <c r="I1817"/>
  <c r="K1817"/>
  <c r="N1817"/>
  <c r="W1817"/>
  <c r="H1818"/>
  <c r="I1818"/>
  <c r="K1818"/>
  <c r="N1818"/>
  <c r="W1818"/>
  <c r="H1819"/>
  <c r="I1819"/>
  <c r="K1819"/>
  <c r="N1819"/>
  <c r="W1819"/>
  <c r="H1820"/>
  <c r="I1820"/>
  <c r="K1820"/>
  <c r="N1820"/>
  <c r="W1820"/>
  <c r="H1821"/>
  <c r="I1821"/>
  <c r="K1821"/>
  <c r="N1821"/>
  <c r="W1821"/>
  <c r="H1822"/>
  <c r="I1822"/>
  <c r="K1822"/>
  <c r="N1822"/>
  <c r="W1822"/>
  <c r="H1823"/>
  <c r="I1823"/>
  <c r="K1823"/>
  <c r="N1823"/>
  <c r="W1823"/>
  <c r="H1824"/>
  <c r="I1824"/>
  <c r="K1824"/>
  <c r="N1824"/>
  <c r="W1824"/>
  <c r="H1825"/>
  <c r="I1825"/>
  <c r="K1825"/>
  <c r="N1825"/>
  <c r="W1825"/>
  <c r="H1826"/>
  <c r="I1826"/>
  <c r="K1826"/>
  <c r="N1826"/>
  <c r="W1826"/>
  <c r="H1827"/>
  <c r="I1827"/>
  <c r="K1827"/>
  <c r="N1827"/>
  <c r="W1827"/>
  <c r="H1828"/>
  <c r="I1828"/>
  <c r="K1828"/>
  <c r="N1828"/>
  <c r="W1828"/>
  <c r="H1829"/>
  <c r="I1829"/>
  <c r="K1829"/>
  <c r="N1829"/>
  <c r="W1829"/>
  <c r="H1830"/>
  <c r="I1830"/>
  <c r="K1830"/>
  <c r="N1830"/>
  <c r="W1830"/>
  <c r="H1831"/>
  <c r="I1831"/>
  <c r="K1831"/>
  <c r="N1831"/>
  <c r="W1831"/>
  <c r="H1832"/>
  <c r="I1832"/>
  <c r="K1832"/>
  <c r="N1832"/>
  <c r="W1832"/>
  <c r="H1833"/>
  <c r="I1833"/>
  <c r="K1833"/>
  <c r="N1833"/>
  <c r="W1833"/>
  <c r="H1834"/>
  <c r="I1834"/>
  <c r="K1834"/>
  <c r="N1834"/>
  <c r="W1834"/>
  <c r="H1835"/>
  <c r="I1835"/>
  <c r="K1835"/>
  <c r="N1835"/>
  <c r="W1835"/>
  <c r="H1836"/>
  <c r="I1836"/>
  <c r="K1836"/>
  <c r="N1836"/>
  <c r="W1836"/>
  <c r="H1837"/>
  <c r="I1837"/>
  <c r="K1837"/>
  <c r="N1837"/>
  <c r="W1837"/>
  <c r="H1838"/>
  <c r="I1838"/>
  <c r="K1838"/>
  <c r="N1838"/>
  <c r="W1838"/>
  <c r="H1839"/>
  <c r="I1839"/>
  <c r="K1839"/>
  <c r="N1839"/>
  <c r="W1839"/>
  <c r="H1840"/>
  <c r="I1840"/>
  <c r="K1840"/>
  <c r="N1840"/>
  <c r="W1840"/>
  <c r="H1841"/>
  <c r="I1841"/>
  <c r="K1841"/>
  <c r="N1841"/>
  <c r="W1841"/>
  <c r="H1842"/>
  <c r="I1842"/>
  <c r="K1842"/>
  <c r="N1842"/>
  <c r="W1842"/>
  <c r="H1843"/>
  <c r="I1843"/>
  <c r="K1843"/>
  <c r="N1843"/>
  <c r="W1843"/>
  <c r="H1844"/>
  <c r="I1844"/>
  <c r="K1844"/>
  <c r="N1844"/>
  <c r="W1844"/>
  <c r="H1845"/>
  <c r="I1845"/>
  <c r="K1845"/>
  <c r="N1845"/>
  <c r="W1845"/>
  <c r="H1846"/>
  <c r="I1846"/>
  <c r="K1846"/>
  <c r="N1846"/>
  <c r="W1846"/>
  <c r="H1847"/>
  <c r="I1847"/>
  <c r="K1847"/>
  <c r="N1847"/>
  <c r="W1847"/>
  <c r="H1848"/>
  <c r="I1848"/>
  <c r="K1848"/>
  <c r="N1848"/>
  <c r="W1848"/>
  <c r="H1849"/>
  <c r="I1849"/>
  <c r="K1849"/>
  <c r="N1849"/>
  <c r="W1849"/>
  <c r="H1850"/>
  <c r="I1850"/>
  <c r="K1850"/>
  <c r="N1850"/>
  <c r="W1850"/>
  <c r="H1851"/>
  <c r="I1851"/>
  <c r="K1851"/>
  <c r="N1851"/>
  <c r="W1851"/>
  <c r="H1852"/>
  <c r="I1852"/>
  <c r="K1852"/>
  <c r="N1852"/>
  <c r="W1852"/>
  <c r="H1853"/>
  <c r="I1853"/>
  <c r="K1853"/>
  <c r="N1853"/>
  <c r="W1853"/>
  <c r="H1854"/>
  <c r="I1854"/>
  <c r="K1854"/>
  <c r="N1854"/>
  <c r="W1854"/>
  <c r="H1855"/>
  <c r="I1855"/>
  <c r="K1855"/>
  <c r="N1855"/>
  <c r="W1855"/>
  <c r="H1856"/>
  <c r="I1856"/>
  <c r="K1856"/>
  <c r="N1856"/>
  <c r="W1856"/>
  <c r="H1857"/>
  <c r="I1857"/>
  <c r="K1857"/>
  <c r="N1857"/>
  <c r="W1857"/>
  <c r="H1858"/>
  <c r="I1858"/>
  <c r="K1858"/>
  <c r="N1858"/>
  <c r="W1858"/>
  <c r="H1859"/>
  <c r="I1859"/>
  <c r="K1859"/>
  <c r="N1859"/>
  <c r="W1859"/>
  <c r="H1860"/>
  <c r="I1860"/>
  <c r="K1860"/>
  <c r="N1860"/>
  <c r="W1860"/>
  <c r="H1861"/>
  <c r="I1861"/>
  <c r="K1861"/>
  <c r="N1861"/>
  <c r="W1861"/>
  <c r="H1862"/>
  <c r="I1862"/>
  <c r="K1862"/>
  <c r="N1862"/>
  <c r="W1862"/>
  <c r="H1863"/>
  <c r="I1863"/>
  <c r="K1863"/>
  <c r="N1863"/>
  <c r="W1863"/>
  <c r="H1864"/>
  <c r="I1864"/>
  <c r="K1864"/>
  <c r="N1864"/>
  <c r="W1864"/>
  <c r="H1865"/>
  <c r="I1865"/>
  <c r="K1865"/>
  <c r="N1865"/>
  <c r="W1865"/>
  <c r="H1866"/>
  <c r="I1866"/>
  <c r="K1866"/>
  <c r="N1866"/>
  <c r="W1866"/>
  <c r="H1867"/>
  <c r="I1867"/>
  <c r="K1867"/>
  <c r="N1867"/>
  <c r="W1867"/>
  <c r="H1868"/>
  <c r="I1868"/>
  <c r="K1868"/>
  <c r="N1868"/>
  <c r="W1868"/>
  <c r="H1869"/>
  <c r="I1869"/>
  <c r="K1869"/>
  <c r="N1869"/>
  <c r="W1869"/>
  <c r="H1870"/>
  <c r="I1870"/>
  <c r="K1870"/>
  <c r="N1870"/>
  <c r="W1870"/>
  <c r="H1871"/>
  <c r="I1871"/>
  <c r="K1871"/>
  <c r="N1871"/>
  <c r="W1871"/>
  <c r="H1872"/>
  <c r="I1872"/>
  <c r="K1872"/>
  <c r="N1872"/>
  <c r="W1872"/>
  <c r="H1873"/>
  <c r="I1873"/>
  <c r="K1873"/>
  <c r="N1873"/>
  <c r="W1873"/>
  <c r="H1874"/>
  <c r="I1874"/>
  <c r="K1874"/>
  <c r="N1874"/>
  <c r="W1874"/>
  <c r="H1875"/>
  <c r="I1875"/>
  <c r="K1875"/>
  <c r="N1875"/>
  <c r="W1875"/>
  <c r="H1876"/>
  <c r="I1876"/>
  <c r="K1876"/>
  <c r="N1876"/>
  <c r="W1876"/>
  <c r="H1877"/>
  <c r="I1877"/>
  <c r="K1877"/>
  <c r="N1877"/>
  <c r="W1877"/>
  <c r="H1878"/>
  <c r="I1878"/>
  <c r="K1878"/>
  <c r="N1878"/>
  <c r="W1878"/>
  <c r="H1879"/>
  <c r="I1879"/>
  <c r="K1879"/>
  <c r="N1879"/>
  <c r="W1879"/>
  <c r="H1880"/>
  <c r="I1880"/>
  <c r="K1880"/>
  <c r="N1880"/>
  <c r="W1880"/>
  <c r="H1881"/>
  <c r="I1881"/>
  <c r="K1881"/>
  <c r="N1881"/>
  <c r="W1881"/>
  <c r="H1882"/>
  <c r="I1882"/>
  <c r="K1882"/>
  <c r="N1882"/>
  <c r="W1882"/>
  <c r="H1883"/>
  <c r="I1883"/>
  <c r="K1883"/>
  <c r="N1883"/>
  <c r="W1883"/>
  <c r="H1884"/>
  <c r="I1884"/>
  <c r="K1884"/>
  <c r="N1884"/>
  <c r="W1884"/>
  <c r="H1885"/>
  <c r="I1885"/>
  <c r="K1885"/>
  <c r="N1885"/>
  <c r="W1885"/>
  <c r="H1886"/>
  <c r="I1886"/>
  <c r="K1886"/>
  <c r="N1886"/>
  <c r="W1886"/>
  <c r="H1887"/>
  <c r="I1887"/>
  <c r="K1887"/>
  <c r="N1887"/>
  <c r="W1887"/>
  <c r="H1888"/>
  <c r="I1888"/>
  <c r="K1888"/>
  <c r="N1888"/>
  <c r="W1888"/>
  <c r="H1889"/>
  <c r="I1889"/>
  <c r="K1889"/>
  <c r="N1889"/>
  <c r="W1889"/>
  <c r="H1890"/>
  <c r="I1890"/>
  <c r="K1890"/>
  <c r="N1890"/>
  <c r="W1890"/>
  <c r="H1891"/>
  <c r="I1891"/>
  <c r="K1891"/>
  <c r="N1891"/>
  <c r="W1891"/>
  <c r="H1892"/>
  <c r="I1892"/>
  <c r="K1892"/>
  <c r="N1892"/>
  <c r="W1892"/>
  <c r="H1893"/>
  <c r="I1893"/>
  <c r="K1893"/>
  <c r="N1893"/>
  <c r="W1893"/>
  <c r="H1894"/>
  <c r="I1894"/>
  <c r="K1894"/>
  <c r="N1894"/>
  <c r="W1894"/>
  <c r="H1895"/>
  <c r="I1895"/>
  <c r="K1895"/>
  <c r="N1895"/>
  <c r="W1895"/>
  <c r="H1896"/>
  <c r="I1896"/>
  <c r="K1896"/>
  <c r="N1896"/>
  <c r="W1896"/>
  <c r="H1897"/>
  <c r="I1897"/>
  <c r="K1897"/>
  <c r="N1897"/>
  <c r="W1897"/>
  <c r="H1898"/>
  <c r="I1898"/>
  <c r="K1898"/>
  <c r="N1898"/>
  <c r="W1898"/>
  <c r="H1899"/>
  <c r="I1899"/>
  <c r="K1899"/>
  <c r="N1899"/>
  <c r="W1899"/>
  <c r="H1900"/>
  <c r="I1900"/>
  <c r="K1900"/>
  <c r="N1900"/>
  <c r="W1900"/>
  <c r="H1901"/>
  <c r="I1901"/>
  <c r="K1901"/>
  <c r="N1901"/>
  <c r="W1901"/>
  <c r="H1902"/>
  <c r="I1902"/>
  <c r="K1902"/>
  <c r="N1902"/>
  <c r="W1902"/>
  <c r="H1903"/>
  <c r="I1903"/>
  <c r="K1903"/>
  <c r="N1903"/>
  <c r="W1903"/>
  <c r="H1904"/>
  <c r="I1904"/>
  <c r="K1904"/>
  <c r="N1904"/>
  <c r="W1904"/>
  <c r="H1905"/>
  <c r="I1905"/>
  <c r="K1905"/>
  <c r="N1905"/>
  <c r="W1905"/>
  <c r="H1906"/>
  <c r="I1906"/>
  <c r="K1906"/>
  <c r="N1906"/>
  <c r="W1906"/>
  <c r="H1907"/>
  <c r="I1907"/>
  <c r="K1907"/>
  <c r="N1907"/>
  <c r="W1907"/>
  <c r="H1908"/>
  <c r="I1908"/>
  <c r="K1908"/>
  <c r="N1908"/>
  <c r="W1908"/>
  <c r="H1909"/>
  <c r="I1909"/>
  <c r="K1909"/>
  <c r="N1909"/>
  <c r="W1909"/>
  <c r="H1910"/>
  <c r="I1910"/>
  <c r="K1910"/>
  <c r="N1910"/>
  <c r="W1910"/>
  <c r="H1911"/>
  <c r="I1911"/>
  <c r="K1911"/>
  <c r="N1911"/>
  <c r="W1911"/>
  <c r="H1912"/>
  <c r="I1912"/>
  <c r="K1912"/>
  <c r="N1912"/>
  <c r="W1912"/>
  <c r="H1913"/>
  <c r="I1913"/>
  <c r="K1913"/>
  <c r="N1913"/>
  <c r="W1913"/>
  <c r="H1914"/>
  <c r="I1914"/>
  <c r="K1914"/>
  <c r="N1914"/>
  <c r="W1914"/>
  <c r="H1915"/>
  <c r="I1915"/>
  <c r="K1915"/>
  <c r="N1915"/>
  <c r="W1915"/>
  <c r="H1916"/>
  <c r="I1916"/>
  <c r="K1916"/>
  <c r="N1916"/>
  <c r="W1916"/>
  <c r="H1917"/>
  <c r="I1917"/>
  <c r="K1917"/>
  <c r="N1917"/>
  <c r="W1917"/>
  <c r="H1918"/>
  <c r="I1918"/>
  <c r="K1918"/>
  <c r="N1918"/>
  <c r="W1918"/>
  <c r="H1919"/>
  <c r="I1919"/>
  <c r="K1919"/>
  <c r="N1919"/>
  <c r="W1919"/>
  <c r="H1920"/>
  <c r="I1920"/>
  <c r="K1920"/>
  <c r="N1920"/>
  <c r="W1920"/>
  <c r="H1921"/>
  <c r="I1921"/>
  <c r="K1921"/>
  <c r="N1921"/>
  <c r="W1921"/>
  <c r="H1922"/>
  <c r="I1922"/>
  <c r="K1922"/>
  <c r="N1922"/>
  <c r="W1922"/>
  <c r="H1923"/>
  <c r="I1923"/>
  <c r="K1923"/>
  <c r="N1923"/>
  <c r="W1923"/>
  <c r="H1924"/>
  <c r="I1924"/>
  <c r="K1924"/>
  <c r="N1924"/>
  <c r="W1924"/>
  <c r="H1925"/>
  <c r="I1925"/>
  <c r="K1925"/>
  <c r="N1925"/>
  <c r="W1925"/>
  <c r="H1926"/>
  <c r="I1926"/>
  <c r="K1926"/>
  <c r="N1926"/>
  <c r="W1926"/>
  <c r="H1927"/>
  <c r="I1927"/>
  <c r="K1927"/>
  <c r="N1927"/>
  <c r="W1927"/>
  <c r="H1928"/>
  <c r="I1928"/>
  <c r="K1928"/>
  <c r="N1928"/>
  <c r="W1928"/>
  <c r="H1929"/>
  <c r="I1929"/>
  <c r="K1929"/>
  <c r="N1929"/>
  <c r="W1929"/>
  <c r="H1930"/>
  <c r="I1930"/>
  <c r="K1930"/>
  <c r="N1930"/>
  <c r="W1930"/>
  <c r="H1931"/>
  <c r="I1931"/>
  <c r="K1931"/>
  <c r="N1931"/>
  <c r="W1931"/>
  <c r="H1932"/>
  <c r="I1932"/>
  <c r="K1932"/>
  <c r="N1932"/>
  <c r="W1932"/>
  <c r="H1933"/>
  <c r="I1933"/>
  <c r="K1933"/>
  <c r="N1933"/>
  <c r="W1933"/>
  <c r="H1934"/>
  <c r="I1934"/>
  <c r="K1934"/>
  <c r="N1934"/>
  <c r="W1934"/>
  <c r="H1935"/>
  <c r="I1935"/>
  <c r="K1935"/>
  <c r="N1935"/>
  <c r="W1935"/>
  <c r="H1936"/>
  <c r="I1936"/>
  <c r="K1936"/>
  <c r="N1936"/>
  <c r="W1936"/>
  <c r="H1937"/>
  <c r="I1937"/>
  <c r="K1937"/>
  <c r="N1937"/>
  <c r="W1937"/>
  <c r="H1938"/>
  <c r="I1938"/>
  <c r="K1938"/>
  <c r="N1938"/>
  <c r="W1938"/>
  <c r="H1939"/>
  <c r="I1939"/>
  <c r="K1939"/>
  <c r="N1939"/>
  <c r="W1939"/>
  <c r="H1940"/>
  <c r="I1940"/>
  <c r="K1940"/>
  <c r="N1940"/>
  <c r="W1940"/>
  <c r="H1941"/>
  <c r="I1941"/>
  <c r="K1941"/>
  <c r="N1941"/>
  <c r="W1941"/>
  <c r="H1942"/>
  <c r="I1942"/>
  <c r="K1942"/>
  <c r="N1942"/>
  <c r="W1942"/>
  <c r="H1943"/>
  <c r="I1943"/>
  <c r="K1943"/>
  <c r="N1943"/>
  <c r="W1943"/>
  <c r="H1944"/>
  <c r="I1944"/>
  <c r="K1944"/>
  <c r="N1944"/>
  <c r="W1944"/>
  <c r="H1945"/>
  <c r="I1945"/>
  <c r="K1945"/>
  <c r="N1945"/>
  <c r="W1945"/>
  <c r="H1946"/>
  <c r="I1946"/>
  <c r="K1946"/>
  <c r="N1946"/>
  <c r="W1946"/>
  <c r="H1947"/>
  <c r="I1947"/>
  <c r="K1947"/>
  <c r="N1947"/>
  <c r="W1947"/>
  <c r="H1948"/>
  <c r="I1948"/>
  <c r="K1948"/>
  <c r="N1948"/>
  <c r="W1948"/>
  <c r="H1949"/>
  <c r="I1949"/>
  <c r="K1949"/>
  <c r="N1949"/>
  <c r="W1949"/>
  <c r="H1950"/>
  <c r="I1950"/>
  <c r="K1950"/>
  <c r="N1950"/>
  <c r="W1950"/>
  <c r="H1951"/>
  <c r="I1951"/>
  <c r="K1951"/>
  <c r="N1951"/>
  <c r="W1951"/>
  <c r="H1952"/>
  <c r="I1952"/>
  <c r="K1952"/>
  <c r="N1952"/>
  <c r="W1952"/>
  <c r="H1953"/>
  <c r="I1953"/>
  <c r="K1953"/>
  <c r="N1953"/>
  <c r="W1953"/>
  <c r="H1954"/>
  <c r="I1954"/>
  <c r="K1954"/>
  <c r="N1954"/>
  <c r="W1954"/>
  <c r="H1955"/>
  <c r="I1955"/>
  <c r="K1955"/>
  <c r="N1955"/>
  <c r="W1955"/>
  <c r="H1956"/>
  <c r="I1956"/>
  <c r="K1956"/>
  <c r="N1956"/>
  <c r="W1956"/>
  <c r="H1957"/>
  <c r="I1957"/>
  <c r="K1957"/>
  <c r="N1957"/>
  <c r="W1957"/>
  <c r="H1958"/>
  <c r="I1958"/>
  <c r="K1958"/>
  <c r="N1958"/>
  <c r="W1958"/>
  <c r="H1959"/>
  <c r="I1959"/>
  <c r="K1959"/>
  <c r="N1959"/>
  <c r="W1959"/>
  <c r="H1960"/>
  <c r="I1960"/>
  <c r="K1960"/>
  <c r="N1960"/>
  <c r="W1960"/>
  <c r="H1961"/>
  <c r="I1961"/>
  <c r="K1961"/>
  <c r="N1961"/>
  <c r="W1961"/>
  <c r="H1962"/>
  <c r="I1962"/>
  <c r="K1962"/>
  <c r="N1962"/>
  <c r="W1962"/>
  <c r="H1963"/>
  <c r="I1963"/>
  <c r="K1963"/>
  <c r="N1963"/>
  <c r="W1963"/>
  <c r="H1964"/>
  <c r="I1964"/>
  <c r="K1964"/>
  <c r="N1964"/>
  <c r="W1964"/>
  <c r="H1965"/>
  <c r="I1965"/>
  <c r="K1965"/>
  <c r="N1965"/>
  <c r="W1965"/>
  <c r="H1966"/>
  <c r="I1966"/>
  <c r="K1966"/>
  <c r="N1966"/>
  <c r="W1966"/>
  <c r="H1967"/>
  <c r="I1967"/>
  <c r="K1967"/>
  <c r="N1967"/>
  <c r="W1967"/>
  <c r="H1968"/>
  <c r="I1968"/>
  <c r="K1968"/>
  <c r="N1968"/>
  <c r="W1968"/>
  <c r="H1969"/>
  <c r="I1969"/>
  <c r="K1969"/>
  <c r="N1969"/>
  <c r="W1969"/>
  <c r="H1970"/>
  <c r="I1970"/>
  <c r="K1970"/>
  <c r="N1970"/>
  <c r="W1970"/>
  <c r="H1971"/>
  <c r="I1971"/>
  <c r="K1971"/>
  <c r="N1971"/>
  <c r="W1971"/>
  <c r="H1972"/>
  <c r="I1972"/>
  <c r="K1972"/>
  <c r="N1972"/>
  <c r="W1972"/>
  <c r="H1973"/>
  <c r="I1973"/>
  <c r="K1973"/>
  <c r="N1973"/>
  <c r="W1973"/>
  <c r="H1974"/>
  <c r="I1974"/>
  <c r="K1974"/>
  <c r="N1974"/>
  <c r="W1974"/>
  <c r="H1975"/>
  <c r="I1975"/>
  <c r="K1975"/>
  <c r="N1975"/>
  <c r="W1975"/>
  <c r="H1976"/>
  <c r="I1976"/>
  <c r="K1976"/>
  <c r="N1976"/>
  <c r="W1976"/>
  <c r="H1977"/>
  <c r="I1977"/>
  <c r="K1977"/>
  <c r="N1977"/>
  <c r="W1977"/>
  <c r="H1978"/>
  <c r="I1978"/>
  <c r="K1978"/>
  <c r="N1978"/>
  <c r="W1978"/>
  <c r="H1979"/>
  <c r="I1979"/>
  <c r="K1979"/>
  <c r="N1979"/>
  <c r="W1979"/>
  <c r="H1980"/>
  <c r="I1980"/>
  <c r="K1980"/>
  <c r="N1980"/>
  <c r="W1980"/>
  <c r="H1981"/>
  <c r="I1981"/>
  <c r="K1981"/>
  <c r="N1981"/>
  <c r="W1981"/>
  <c r="H1982"/>
  <c r="I1982"/>
  <c r="K1982"/>
  <c r="N1982"/>
  <c r="W1982"/>
  <c r="H1983"/>
  <c r="I1983"/>
  <c r="K1983"/>
  <c r="N1983"/>
  <c r="W1983"/>
  <c r="H1984"/>
  <c r="I1984"/>
  <c r="K1984"/>
  <c r="N1984"/>
  <c r="W1984"/>
  <c r="H1985"/>
  <c r="I1985"/>
  <c r="K1985"/>
  <c r="N1985"/>
  <c r="W1985"/>
  <c r="H1986"/>
  <c r="I1986"/>
  <c r="K1986"/>
  <c r="N1986"/>
  <c r="W1986"/>
  <c r="H1987"/>
  <c r="I1987"/>
  <c r="K1987"/>
  <c r="N1987"/>
  <c r="W1987"/>
  <c r="H1988"/>
  <c r="I1988"/>
  <c r="K1988"/>
  <c r="N1988"/>
  <c r="W1988"/>
  <c r="H1989"/>
  <c r="I1989"/>
  <c r="K1989"/>
  <c r="N1989"/>
  <c r="W1989"/>
  <c r="H1990"/>
  <c r="I1990"/>
  <c r="K1990"/>
  <c r="N1990"/>
  <c r="W1990"/>
  <c r="H1991"/>
  <c r="I1991"/>
  <c r="K1991"/>
  <c r="N1991"/>
  <c r="W1991"/>
  <c r="H1992"/>
  <c r="I1992"/>
  <c r="K1992"/>
  <c r="N1992"/>
  <c r="W1992"/>
  <c r="H1993"/>
  <c r="I1993"/>
  <c r="K1993"/>
  <c r="N1993"/>
  <c r="W1993"/>
  <c r="H1994"/>
  <c r="I1994"/>
  <c r="K1994"/>
  <c r="N1994"/>
  <c r="W1994"/>
  <c r="H1995"/>
  <c r="I1995"/>
  <c r="K1995"/>
  <c r="N1995"/>
  <c r="W1995"/>
  <c r="H1996"/>
  <c r="I1996"/>
  <c r="K1996"/>
  <c r="N1996"/>
  <c r="W1996"/>
  <c r="H1997"/>
  <c r="I1997"/>
  <c r="K1997"/>
  <c r="N1997"/>
  <c r="W1997"/>
  <c r="H1998"/>
  <c r="I1998"/>
  <c r="K1998"/>
  <c r="N1998"/>
  <c r="W1998"/>
  <c r="H1999"/>
  <c r="I1999"/>
  <c r="K1999"/>
  <c r="N1999"/>
  <c r="W1999"/>
  <c r="H2000"/>
  <c r="I2000"/>
  <c r="K2000"/>
  <c r="N2000"/>
  <c r="W2000"/>
  <c r="H2001"/>
  <c r="I2001"/>
  <c r="K2001"/>
  <c r="N2001"/>
  <c r="W2001"/>
  <c r="H2002"/>
  <c r="I2002"/>
  <c r="K2002"/>
  <c r="N2002"/>
  <c r="W2002"/>
  <c r="H2003"/>
  <c r="I2003"/>
  <c r="K2003"/>
  <c r="N2003"/>
  <c r="W2003"/>
  <c r="H2004"/>
  <c r="I2004"/>
  <c r="K2004"/>
  <c r="N2004"/>
  <c r="W2004"/>
  <c r="H2005"/>
  <c r="I2005"/>
  <c r="K2005"/>
  <c r="N2005"/>
  <c r="W2005"/>
  <c r="H2006"/>
  <c r="I2006"/>
  <c r="K2006"/>
  <c r="N2006"/>
  <c r="W2006"/>
  <c r="H2007"/>
  <c r="I2007"/>
  <c r="K2007"/>
  <c r="N2007"/>
  <c r="W2007"/>
  <c r="H2008"/>
  <c r="I2008"/>
  <c r="K2008"/>
  <c r="N2008"/>
  <c r="W2008"/>
  <c r="H2009"/>
  <c r="I2009"/>
  <c r="K2009"/>
  <c r="N2009"/>
  <c r="W2009"/>
  <c r="H2010"/>
  <c r="I2010"/>
  <c r="K2010"/>
  <c r="N2010"/>
  <c r="W2010"/>
  <c r="H2011"/>
  <c r="I2011"/>
  <c r="K2011"/>
  <c r="N2011"/>
  <c r="W2011"/>
  <c r="H2012"/>
  <c r="I2012"/>
  <c r="K2012"/>
  <c r="N2012"/>
  <c r="W2012"/>
  <c r="H2013"/>
  <c r="I2013"/>
  <c r="K2013"/>
  <c r="N2013"/>
  <c r="W2013"/>
  <c r="H2014"/>
  <c r="I2014"/>
  <c r="K2014"/>
  <c r="N2014"/>
  <c r="W2014"/>
  <c r="H2015"/>
  <c r="I2015"/>
  <c r="K2015"/>
  <c r="N2015"/>
  <c r="W2015"/>
  <c r="H2016"/>
  <c r="I2016"/>
  <c r="K2016"/>
  <c r="N2016"/>
  <c r="W2016"/>
  <c r="H2017"/>
  <c r="I2017"/>
  <c r="K2017"/>
  <c r="N2017"/>
  <c r="W2017"/>
  <c r="H2018"/>
  <c r="I2018"/>
  <c r="K2018"/>
  <c r="N2018"/>
  <c r="W2018"/>
  <c r="H2019"/>
  <c r="I2019"/>
  <c r="K2019"/>
  <c r="N2019"/>
  <c r="W2019"/>
  <c r="H2020"/>
  <c r="I2020"/>
  <c r="K2020"/>
  <c r="N2020"/>
  <c r="W2020"/>
  <c r="H2021"/>
  <c r="I2021"/>
  <c r="K2021"/>
  <c r="N2021"/>
  <c r="W2021"/>
  <c r="H2022"/>
  <c r="I2022"/>
  <c r="K2022"/>
  <c r="N2022"/>
  <c r="W2022"/>
  <c r="H2023"/>
  <c r="I2023"/>
  <c r="K2023"/>
  <c r="N2023"/>
  <c r="W2023"/>
  <c r="H2024"/>
  <c r="I2024"/>
  <c r="K2024"/>
  <c r="N2024"/>
  <c r="W2024"/>
  <c r="H2025"/>
  <c r="I2025"/>
  <c r="K2025"/>
  <c r="N2025"/>
  <c r="W2025"/>
  <c r="H2026"/>
  <c r="I2026"/>
  <c r="K2026"/>
  <c r="N2026"/>
  <c r="W2026"/>
  <c r="H2027"/>
  <c r="I2027"/>
  <c r="K2027"/>
  <c r="N2027"/>
  <c r="W2027"/>
  <c r="H2028"/>
  <c r="I2028"/>
  <c r="K2028"/>
  <c r="N2028"/>
  <c r="W2028"/>
  <c r="H2029"/>
  <c r="I2029"/>
  <c r="K2029"/>
  <c r="N2029"/>
  <c r="W2029"/>
  <c r="H2030"/>
  <c r="I2030"/>
  <c r="K2030"/>
  <c r="N2030"/>
  <c r="W2030"/>
  <c r="H2031"/>
  <c r="I2031"/>
  <c r="K2031"/>
  <c r="N2031"/>
  <c r="W2031"/>
  <c r="H2032"/>
  <c r="I2032"/>
  <c r="K2032"/>
  <c r="N2032"/>
  <c r="W2032"/>
  <c r="H2033"/>
  <c r="I2033"/>
  <c r="K2033"/>
  <c r="N2033"/>
  <c r="W2033"/>
  <c r="H2034"/>
  <c r="I2034"/>
  <c r="K2034"/>
  <c r="N2034"/>
  <c r="W2034"/>
  <c r="H2035"/>
  <c r="I2035"/>
  <c r="K2035"/>
  <c r="N2035"/>
  <c r="W2035"/>
  <c r="H2036"/>
  <c r="I2036"/>
  <c r="K2036"/>
  <c r="N2036"/>
  <c r="W2036"/>
  <c r="H2037"/>
  <c r="I2037"/>
  <c r="K2037"/>
  <c r="N2037"/>
  <c r="W2037"/>
  <c r="H2038"/>
  <c r="I2038"/>
  <c r="K2038"/>
  <c r="N2038"/>
  <c r="W2038"/>
  <c r="H2039"/>
  <c r="I2039"/>
  <c r="K2039"/>
  <c r="N2039"/>
  <c r="W2039"/>
  <c r="H2040"/>
  <c r="I2040"/>
  <c r="K2040"/>
  <c r="N2040"/>
  <c r="W2040"/>
  <c r="H2041"/>
  <c r="I2041"/>
  <c r="K2041"/>
  <c r="N2041"/>
  <c r="W2041"/>
  <c r="H2042"/>
  <c r="I2042"/>
  <c r="K2042"/>
  <c r="N2042"/>
  <c r="W2042"/>
  <c r="H2043"/>
  <c r="I2043"/>
  <c r="K2043"/>
  <c r="N2043"/>
  <c r="W2043"/>
  <c r="H2044"/>
  <c r="I2044"/>
  <c r="K2044"/>
  <c r="N2044"/>
  <c r="W2044"/>
  <c r="H2045"/>
  <c r="I2045"/>
  <c r="K2045"/>
  <c r="N2045"/>
  <c r="W2045"/>
  <c r="H2046"/>
  <c r="I2046"/>
  <c r="K2046"/>
  <c r="N2046"/>
  <c r="W2046"/>
  <c r="H2047"/>
  <c r="I2047"/>
  <c r="K2047"/>
  <c r="N2047"/>
  <c r="W2047"/>
  <c r="H2048"/>
  <c r="I2048"/>
  <c r="K2048"/>
  <c r="N2048"/>
  <c r="W2048"/>
  <c r="H2049"/>
  <c r="I2049"/>
  <c r="K2049"/>
  <c r="N2049"/>
  <c r="W2049"/>
  <c r="H2050"/>
  <c r="I2050"/>
  <c r="K2050"/>
  <c r="N2050"/>
  <c r="W2050"/>
  <c r="H2051"/>
  <c r="I2051"/>
  <c r="K2051"/>
  <c r="N2051"/>
  <c r="W2051"/>
  <c r="H2052"/>
  <c r="I2052"/>
  <c r="K2052"/>
  <c r="N2052"/>
  <c r="W2052"/>
  <c r="H2053"/>
  <c r="I2053"/>
  <c r="K2053"/>
  <c r="N2053"/>
  <c r="W2053"/>
  <c r="H2054"/>
  <c r="I2054"/>
  <c r="K2054"/>
  <c r="N2054"/>
  <c r="W2054"/>
  <c r="H2055"/>
  <c r="I2055"/>
  <c r="K2055"/>
  <c r="N2055"/>
  <c r="W2055"/>
  <c r="H2056"/>
  <c r="I2056"/>
  <c r="K2056"/>
  <c r="N2056"/>
  <c r="W2056"/>
  <c r="H2057"/>
  <c r="I2057"/>
  <c r="K2057"/>
  <c r="N2057"/>
  <c r="W2057"/>
  <c r="H2058"/>
  <c r="I2058"/>
  <c r="K2058"/>
  <c r="N2058"/>
  <c r="W2058"/>
  <c r="H2059"/>
  <c r="I2059"/>
  <c r="K2059"/>
  <c r="N2059"/>
  <c r="W2059"/>
  <c r="H2060"/>
  <c r="I2060"/>
  <c r="K2060"/>
  <c r="N2060"/>
  <c r="W2060"/>
  <c r="H2061"/>
  <c r="I2061"/>
  <c r="K2061"/>
  <c r="N2061"/>
  <c r="W2061"/>
  <c r="H2062"/>
  <c r="I2062"/>
  <c r="K2062"/>
  <c r="N2062"/>
  <c r="W2062"/>
  <c r="H2063"/>
  <c r="I2063"/>
  <c r="K2063"/>
  <c r="N2063"/>
  <c r="W2063"/>
  <c r="H2064"/>
  <c r="I2064"/>
  <c r="K2064"/>
  <c r="N2064"/>
  <c r="W2064"/>
  <c r="H2065"/>
  <c r="I2065"/>
  <c r="K2065"/>
  <c r="N2065"/>
  <c r="W2065"/>
  <c r="H2066"/>
  <c r="I2066"/>
  <c r="K2066"/>
  <c r="N2066"/>
  <c r="W2066"/>
  <c r="H2067"/>
  <c r="I2067"/>
  <c r="K2067"/>
  <c r="N2067"/>
  <c r="W2067"/>
  <c r="H2068"/>
  <c r="I2068"/>
  <c r="K2068"/>
  <c r="N2068"/>
  <c r="W2068"/>
  <c r="H2069"/>
  <c r="I2069"/>
  <c r="K2069"/>
  <c r="N2069"/>
  <c r="W2069"/>
  <c r="H2070"/>
  <c r="I2070"/>
  <c r="K2070"/>
  <c r="N2070"/>
  <c r="W2070"/>
  <c r="H2071"/>
  <c r="I2071"/>
  <c r="K2071"/>
  <c r="N2071"/>
  <c r="W2071"/>
  <c r="H2072"/>
  <c r="I2072"/>
  <c r="K2072"/>
  <c r="N2072"/>
  <c r="W2072"/>
  <c r="H2073"/>
  <c r="I2073"/>
  <c r="K2073"/>
  <c r="N2073"/>
  <c r="W2073"/>
  <c r="H2074"/>
  <c r="I2074"/>
  <c r="K2074"/>
  <c r="N2074"/>
  <c r="W2074"/>
  <c r="H2075"/>
  <c r="I2075"/>
  <c r="K2075"/>
  <c r="N2075"/>
  <c r="W2075"/>
  <c r="H2076"/>
  <c r="I2076"/>
  <c r="K2076"/>
  <c r="N2076"/>
  <c r="W2076"/>
  <c r="H2077"/>
  <c r="I2077"/>
  <c r="K2077"/>
  <c r="N2077"/>
  <c r="W2077"/>
  <c r="H2078"/>
  <c r="I2078"/>
  <c r="K2078"/>
  <c r="N2078"/>
  <c r="W2078"/>
  <c r="H2079"/>
  <c r="I2079"/>
  <c r="K2079"/>
  <c r="N2079"/>
  <c r="W2079"/>
  <c r="H2080"/>
  <c r="I2080"/>
  <c r="K2080"/>
  <c r="N2080"/>
  <c r="W2080"/>
  <c r="H2081"/>
  <c r="I2081"/>
  <c r="K2081"/>
  <c r="N2081"/>
  <c r="W2081"/>
  <c r="H2082"/>
  <c r="I2082"/>
  <c r="K2082"/>
  <c r="N2082"/>
  <c r="W2082"/>
  <c r="H2083"/>
  <c r="I2083"/>
  <c r="K2083"/>
  <c r="N2083"/>
  <c r="W2083"/>
  <c r="H2084"/>
  <c r="I2084"/>
  <c r="K2084"/>
  <c r="N2084"/>
  <c r="W2084"/>
  <c r="H2085"/>
  <c r="I2085"/>
  <c r="K2085"/>
  <c r="N2085"/>
  <c r="W2085"/>
  <c r="H2086"/>
  <c r="I2086"/>
  <c r="K2086"/>
  <c r="N2086"/>
  <c r="W2086"/>
  <c r="H2087"/>
  <c r="I2087"/>
  <c r="K2087"/>
  <c r="N2087"/>
  <c r="W2087"/>
  <c r="H2088"/>
  <c r="I2088"/>
  <c r="K2088"/>
  <c r="N2088"/>
  <c r="W2088"/>
  <c r="H2089"/>
  <c r="I2089"/>
  <c r="K2089"/>
  <c r="N2089"/>
  <c r="W2089"/>
  <c r="H2090"/>
  <c r="I2090"/>
  <c r="K2090"/>
  <c r="N2090"/>
  <c r="W2090"/>
  <c r="H2091"/>
  <c r="I2091"/>
  <c r="K2091"/>
  <c r="N2091"/>
  <c r="W2091"/>
  <c r="H2092"/>
  <c r="I2092"/>
  <c r="K2092"/>
  <c r="N2092"/>
  <c r="W2092"/>
  <c r="H2093"/>
  <c r="I2093"/>
  <c r="K2093"/>
  <c r="N2093"/>
  <c r="W2093"/>
  <c r="H2094"/>
  <c r="I2094"/>
  <c r="K2094"/>
  <c r="N2094"/>
  <c r="W2094"/>
  <c r="H2095"/>
  <c r="I2095"/>
  <c r="K2095"/>
  <c r="N2095"/>
  <c r="W2095"/>
  <c r="H2096"/>
  <c r="I2096"/>
  <c r="K2096"/>
  <c r="N2096"/>
  <c r="W2096"/>
  <c r="H2097"/>
  <c r="I2097"/>
  <c r="K2097"/>
  <c r="N2097"/>
  <c r="W2097"/>
  <c r="H2098"/>
  <c r="I2098"/>
  <c r="K2098"/>
  <c r="N2098"/>
  <c r="W2098"/>
  <c r="H2099"/>
  <c r="I2099"/>
  <c r="K2099"/>
  <c r="N2099"/>
  <c r="W2099"/>
  <c r="H2100"/>
  <c r="I2100"/>
  <c r="K2100"/>
  <c r="N2100"/>
  <c r="W2100"/>
  <c r="H2101"/>
  <c r="I2101"/>
  <c r="K2101"/>
  <c r="N2101"/>
  <c r="W2101"/>
  <c r="H2102"/>
  <c r="I2102"/>
  <c r="K2102"/>
  <c r="N2102"/>
  <c r="W2102"/>
  <c r="H2103"/>
  <c r="I2103"/>
  <c r="K2103"/>
  <c r="N2103"/>
  <c r="W2103"/>
  <c r="H2104"/>
  <c r="I2104"/>
  <c r="K2104"/>
  <c r="N2104"/>
  <c r="W2104"/>
  <c r="H2105"/>
  <c r="I2105"/>
  <c r="K2105"/>
  <c r="N2105"/>
  <c r="W2105"/>
  <c r="H2106"/>
  <c r="I2106"/>
  <c r="K2106"/>
  <c r="N2106"/>
  <c r="W2106"/>
  <c r="H2107"/>
  <c r="I2107"/>
  <c r="K2107"/>
  <c r="N2107"/>
  <c r="W2107"/>
  <c r="H2108"/>
  <c r="I2108"/>
  <c r="K2108"/>
  <c r="N2108"/>
  <c r="W2108"/>
  <c r="H2109"/>
  <c r="I2109"/>
  <c r="K2109"/>
  <c r="N2109"/>
  <c r="W2109"/>
  <c r="H2110"/>
  <c r="I2110"/>
  <c r="K2110"/>
  <c r="N2110"/>
  <c r="W2110"/>
  <c r="H2111"/>
  <c r="I2111"/>
  <c r="K2111"/>
  <c r="N2111"/>
  <c r="W2111"/>
  <c r="H2112"/>
  <c r="I2112"/>
  <c r="K2112"/>
  <c r="N2112"/>
  <c r="W2112"/>
  <c r="H2113"/>
  <c r="I2113"/>
  <c r="K2113"/>
  <c r="N2113"/>
  <c r="W2113"/>
  <c r="H2114"/>
  <c r="I2114"/>
  <c r="K2114"/>
  <c r="N2114"/>
  <c r="W2114"/>
  <c r="H2115"/>
  <c r="I2115"/>
  <c r="K2115"/>
  <c r="N2115"/>
  <c r="W2115"/>
  <c r="H2116"/>
  <c r="I2116"/>
  <c r="K2116"/>
  <c r="N2116"/>
  <c r="W2116"/>
  <c r="H2117"/>
  <c r="I2117"/>
  <c r="K2117"/>
  <c r="N2117"/>
  <c r="W2117"/>
  <c r="H2118"/>
  <c r="I2118"/>
  <c r="K2118"/>
  <c r="N2118"/>
  <c r="W2118"/>
  <c r="H2119"/>
  <c r="I2119"/>
  <c r="K2119"/>
  <c r="N2119"/>
  <c r="W2119"/>
  <c r="H2120"/>
  <c r="I2120"/>
  <c r="K2120"/>
  <c r="N2120"/>
  <c r="W2120"/>
  <c r="H2121"/>
  <c r="I2121"/>
  <c r="K2121"/>
  <c r="N2121"/>
  <c r="W2121"/>
  <c r="H2122"/>
  <c r="I2122"/>
  <c r="K2122"/>
  <c r="N2122"/>
  <c r="W2122"/>
  <c r="H2123"/>
  <c r="I2123"/>
  <c r="K2123"/>
  <c r="N2123"/>
  <c r="W2123"/>
  <c r="H2124"/>
  <c r="I2124"/>
  <c r="K2124"/>
  <c r="N2124"/>
  <c r="W2124"/>
  <c r="H2125"/>
  <c r="I2125"/>
  <c r="K2125"/>
  <c r="N2125"/>
  <c r="W2125"/>
  <c r="H2126"/>
  <c r="I2126"/>
  <c r="K2126"/>
  <c r="N2126"/>
  <c r="W2126"/>
  <c r="H2127"/>
  <c r="I2127"/>
  <c r="K2127"/>
  <c r="N2127"/>
  <c r="W2127"/>
  <c r="H2128"/>
  <c r="I2128"/>
  <c r="K2128"/>
  <c r="N2128"/>
  <c r="W2128"/>
  <c r="H2129"/>
  <c r="I2129"/>
  <c r="K2129"/>
  <c r="N2129"/>
  <c r="W2129"/>
  <c r="H2130"/>
  <c r="I2130"/>
  <c r="K2130"/>
  <c r="N2130"/>
  <c r="W2130"/>
  <c r="H2131"/>
  <c r="I2131"/>
  <c r="K2131"/>
  <c r="N2131"/>
  <c r="W2131"/>
  <c r="H2132"/>
  <c r="I2132"/>
  <c r="K2132"/>
  <c r="N2132"/>
  <c r="W2132"/>
  <c r="H2133"/>
  <c r="I2133"/>
  <c r="K2133"/>
  <c r="N2133"/>
  <c r="W2133"/>
  <c r="H2134"/>
  <c r="I2134"/>
  <c r="K2134"/>
  <c r="N2134"/>
  <c r="W2134"/>
  <c r="H2135"/>
  <c r="I2135"/>
  <c r="K2135"/>
  <c r="N2135"/>
  <c r="W2135"/>
  <c r="H2136"/>
  <c r="I2136"/>
  <c r="K2136"/>
  <c r="N2136"/>
  <c r="W2136"/>
  <c r="H2137"/>
  <c r="I2137"/>
  <c r="K2137"/>
  <c r="N2137"/>
  <c r="W2137"/>
  <c r="H2138"/>
  <c r="I2138"/>
  <c r="K2138"/>
  <c r="N2138"/>
  <c r="W2138"/>
  <c r="H2139"/>
  <c r="I2139"/>
  <c r="K2139"/>
  <c r="N2139"/>
  <c r="W2139"/>
  <c r="H2140"/>
  <c r="I2140"/>
  <c r="K2140"/>
  <c r="N2140"/>
  <c r="W2140"/>
  <c r="H2141"/>
  <c r="I2141"/>
  <c r="K2141"/>
  <c r="N2141"/>
  <c r="W2141"/>
  <c r="H2142"/>
  <c r="I2142"/>
  <c r="K2142"/>
  <c r="N2142"/>
  <c r="W2142"/>
  <c r="H2143"/>
  <c r="I2143"/>
  <c r="K2143"/>
  <c r="N2143"/>
  <c r="W2143"/>
  <c r="H2144"/>
  <c r="I2144"/>
  <c r="K2144"/>
  <c r="N2144"/>
  <c r="W2144"/>
  <c r="H2145"/>
  <c r="I2145"/>
  <c r="K2145"/>
  <c r="N2145"/>
  <c r="W2145"/>
  <c r="H2146"/>
  <c r="I2146"/>
  <c r="K2146"/>
  <c r="N2146"/>
  <c r="W2146"/>
  <c r="H2147"/>
  <c r="I2147"/>
  <c r="K2147"/>
  <c r="N2147"/>
  <c r="W2147"/>
  <c r="H2148"/>
  <c r="I2148"/>
  <c r="K2148"/>
  <c r="N2148"/>
  <c r="W2148"/>
  <c r="H2149"/>
  <c r="I2149"/>
  <c r="K2149"/>
  <c r="N2149"/>
  <c r="W2149"/>
  <c r="H2150"/>
  <c r="I2150"/>
  <c r="K2150"/>
  <c r="N2150"/>
  <c r="W2150"/>
  <c r="H2151"/>
  <c r="I2151"/>
  <c r="K2151"/>
  <c r="N2151"/>
  <c r="W2151"/>
  <c r="H2152"/>
  <c r="I2152"/>
  <c r="K2152"/>
  <c r="N2152"/>
  <c r="W2152"/>
  <c r="H2153"/>
  <c r="I2153"/>
  <c r="K2153"/>
  <c r="N2153"/>
  <c r="W2153"/>
  <c r="H2154"/>
  <c r="I2154"/>
  <c r="K2154"/>
  <c r="N2154"/>
  <c r="W2154"/>
  <c r="H2155"/>
  <c r="I2155"/>
  <c r="K2155"/>
  <c r="N2155"/>
  <c r="W2155"/>
  <c r="H2156"/>
  <c r="I2156"/>
  <c r="K2156"/>
  <c r="N2156"/>
  <c r="W2156"/>
  <c r="H2157"/>
  <c r="I2157"/>
  <c r="K2157"/>
  <c r="N2157"/>
  <c r="W2157"/>
  <c r="H2158"/>
  <c r="I2158"/>
  <c r="K2158"/>
  <c r="N2158"/>
  <c r="W2158"/>
  <c r="H2159"/>
  <c r="I2159"/>
  <c r="K2159"/>
  <c r="N2159"/>
  <c r="W2159"/>
  <c r="H2160"/>
  <c r="I2160"/>
  <c r="K2160"/>
  <c r="N2160"/>
  <c r="W2160"/>
  <c r="H2161"/>
  <c r="I2161"/>
  <c r="K2161"/>
  <c r="N2161"/>
  <c r="W2161"/>
  <c r="H2162"/>
  <c r="I2162"/>
  <c r="K2162"/>
  <c r="N2162"/>
  <c r="W2162"/>
  <c r="H2163"/>
  <c r="I2163"/>
  <c r="K2163"/>
  <c r="N2163"/>
  <c r="W2163"/>
  <c r="H2164"/>
  <c r="I2164"/>
  <c r="K2164"/>
  <c r="N2164"/>
  <c r="W2164"/>
  <c r="H2165"/>
  <c r="I2165"/>
  <c r="K2165"/>
  <c r="N2165"/>
  <c r="W2165"/>
  <c r="H2166"/>
  <c r="I2166"/>
  <c r="K2166"/>
  <c r="N2166"/>
  <c r="W2166"/>
  <c r="H2167"/>
  <c r="I2167"/>
  <c r="K2167"/>
  <c r="N2167"/>
  <c r="W2167"/>
  <c r="H2168"/>
  <c r="I2168"/>
  <c r="K2168"/>
  <c r="N2168"/>
  <c r="W2168"/>
  <c r="H2169"/>
  <c r="I2169"/>
  <c r="K2169"/>
  <c r="N2169"/>
  <c r="W2169"/>
  <c r="H2170"/>
  <c r="I2170"/>
  <c r="K2170"/>
  <c r="N2170"/>
  <c r="W2170"/>
  <c r="H2171"/>
  <c r="I2171"/>
  <c r="K2171"/>
  <c r="N2171"/>
  <c r="W2171"/>
  <c r="H2172"/>
  <c r="I2172"/>
  <c r="K2172"/>
  <c r="N2172"/>
  <c r="W2172"/>
  <c r="H2173"/>
  <c r="I2173"/>
  <c r="K2173"/>
  <c r="N2173"/>
  <c r="W2173"/>
  <c r="H2174"/>
  <c r="I2174"/>
  <c r="K2174"/>
  <c r="N2174"/>
  <c r="W2174"/>
  <c r="H2175"/>
  <c r="I2175"/>
  <c r="K2175"/>
  <c r="N2175"/>
  <c r="W2175"/>
  <c r="H2176"/>
  <c r="I2176"/>
  <c r="K2176"/>
  <c r="N2176"/>
  <c r="W2176"/>
  <c r="H2177"/>
  <c r="I2177"/>
  <c r="K2177"/>
  <c r="N2177"/>
  <c r="W2177"/>
  <c r="H2178"/>
  <c r="I2178"/>
  <c r="K2178"/>
  <c r="N2178"/>
  <c r="W2178"/>
  <c r="H2179"/>
  <c r="I2179"/>
  <c r="K2179"/>
  <c r="N2179"/>
  <c r="W2179"/>
  <c r="H2180"/>
  <c r="I2180"/>
  <c r="K2180"/>
  <c r="N2180"/>
  <c r="W2180"/>
  <c r="H2181"/>
  <c r="I2181"/>
  <c r="K2181"/>
  <c r="N2181"/>
  <c r="W2181"/>
  <c r="H2182"/>
  <c r="I2182"/>
  <c r="K2182"/>
  <c r="N2182"/>
  <c r="W2182"/>
  <c r="H2183"/>
  <c r="I2183"/>
  <c r="K2183"/>
  <c r="N2183"/>
  <c r="W2183"/>
  <c r="H2184"/>
  <c r="I2184"/>
  <c r="K2184"/>
  <c r="N2184"/>
  <c r="W2184"/>
  <c r="H2185"/>
  <c r="I2185"/>
  <c r="K2185"/>
  <c r="N2185"/>
  <c r="W2185"/>
  <c r="H2186"/>
  <c r="I2186"/>
  <c r="K2186"/>
  <c r="N2186"/>
  <c r="W2186"/>
  <c r="H2187"/>
  <c r="I2187"/>
  <c r="K2187"/>
  <c r="N2187"/>
  <c r="W2187"/>
  <c r="H2188"/>
  <c r="I2188"/>
  <c r="K2188"/>
  <c r="N2188"/>
  <c r="W2188"/>
  <c r="H2189"/>
  <c r="I2189"/>
  <c r="K2189"/>
  <c r="N2189"/>
  <c r="W2189"/>
  <c r="H2190"/>
  <c r="I2190"/>
  <c r="K2190"/>
  <c r="N2190"/>
  <c r="W2190"/>
  <c r="H2191"/>
  <c r="I2191"/>
  <c r="K2191"/>
  <c r="N2191"/>
  <c r="W2191"/>
  <c r="H2192"/>
  <c r="I2192"/>
  <c r="K2192"/>
  <c r="N2192"/>
  <c r="W2192"/>
  <c r="H2193"/>
  <c r="I2193"/>
  <c r="K2193"/>
  <c r="N2193"/>
  <c r="W2193"/>
  <c r="H2194"/>
  <c r="I2194"/>
  <c r="K2194"/>
  <c r="N2194"/>
  <c r="W2194"/>
  <c r="H2195"/>
  <c r="I2195"/>
  <c r="K2195"/>
  <c r="N2195"/>
  <c r="W2195"/>
  <c r="H2196"/>
  <c r="I2196"/>
  <c r="K2196"/>
  <c r="N2196"/>
  <c r="W2196"/>
  <c r="H2197"/>
  <c r="I2197"/>
  <c r="K2197"/>
  <c r="N2197"/>
  <c r="W2197"/>
  <c r="H2198"/>
  <c r="I2198"/>
  <c r="K2198"/>
  <c r="N2198"/>
  <c r="W2198"/>
  <c r="H2199"/>
  <c r="I2199"/>
  <c r="K2199"/>
  <c r="N2199"/>
  <c r="W2199"/>
  <c r="H2200"/>
  <c r="I2200"/>
  <c r="K2200"/>
  <c r="N2200"/>
  <c r="W2200"/>
  <c r="H2201"/>
  <c r="I2201"/>
  <c r="K2201"/>
  <c r="N2201"/>
  <c r="W2201"/>
  <c r="H2202"/>
  <c r="I2202"/>
  <c r="K2202"/>
  <c r="N2202"/>
  <c r="W2202"/>
  <c r="H2203"/>
  <c r="I2203"/>
  <c r="K2203"/>
  <c r="N2203"/>
  <c r="W2203"/>
  <c r="H2204"/>
  <c r="I2204"/>
  <c r="K2204"/>
  <c r="N2204"/>
  <c r="W2204"/>
  <c r="H2205"/>
  <c r="I2205"/>
  <c r="K2205"/>
  <c r="N2205"/>
  <c r="W2205"/>
  <c r="H2206"/>
  <c r="I2206"/>
  <c r="K2206"/>
  <c r="N2206"/>
  <c r="W2206"/>
  <c r="H2207"/>
  <c r="I2207"/>
  <c r="K2207"/>
  <c r="N2207"/>
  <c r="W2207"/>
  <c r="H2208"/>
  <c r="I2208"/>
  <c r="K2208"/>
  <c r="N2208"/>
  <c r="W2208"/>
  <c r="H2209"/>
  <c r="I2209"/>
  <c r="K2209"/>
  <c r="N2209"/>
  <c r="W2209"/>
  <c r="H2210"/>
  <c r="I2210"/>
  <c r="K2210"/>
  <c r="N2210"/>
  <c r="W2210"/>
  <c r="H2211"/>
  <c r="I2211"/>
  <c r="K2211"/>
  <c r="N2211"/>
  <c r="W2211"/>
  <c r="H2212"/>
  <c r="I2212"/>
  <c r="K2212"/>
  <c r="N2212"/>
  <c r="W2212"/>
  <c r="H2213"/>
  <c r="I2213"/>
  <c r="K2213"/>
  <c r="N2213"/>
  <c r="W2213"/>
  <c r="H2214"/>
  <c r="I2214"/>
  <c r="K2214"/>
  <c r="N2214"/>
  <c r="W2214"/>
  <c r="H2215"/>
  <c r="I2215"/>
  <c r="K2215"/>
  <c r="N2215"/>
  <c r="W2215"/>
  <c r="H2216"/>
  <c r="I2216"/>
  <c r="K2216"/>
  <c r="N2216"/>
  <c r="W2216"/>
  <c r="H2217"/>
  <c r="I2217"/>
  <c r="K2217"/>
  <c r="N2217"/>
  <c r="W2217"/>
  <c r="H2218"/>
  <c r="I2218"/>
  <c r="K2218"/>
  <c r="N2218"/>
  <c r="W2218"/>
  <c r="H2219"/>
  <c r="I2219"/>
  <c r="K2219"/>
  <c r="N2219"/>
  <c r="W2219"/>
  <c r="H2220"/>
  <c r="I2220"/>
  <c r="K2220"/>
  <c r="N2220"/>
  <c r="W2220"/>
  <c r="H2221"/>
  <c r="I2221"/>
  <c r="K2221"/>
  <c r="N2221"/>
  <c r="W2221"/>
  <c r="H2222"/>
  <c r="I2222"/>
  <c r="K2222"/>
  <c r="N2222"/>
  <c r="W2222"/>
  <c r="H2223"/>
  <c r="I2223"/>
  <c r="K2223"/>
  <c r="N2223"/>
  <c r="W2223"/>
  <c r="H2224"/>
  <c r="I2224"/>
  <c r="K2224"/>
  <c r="N2224"/>
  <c r="W2224"/>
  <c r="H2225"/>
  <c r="I2225"/>
  <c r="K2225"/>
  <c r="N2225"/>
  <c r="W2225"/>
  <c r="H2226"/>
  <c r="I2226"/>
  <c r="K2226"/>
  <c r="N2226"/>
  <c r="W2226"/>
  <c r="H2227"/>
  <c r="I2227"/>
  <c r="K2227"/>
  <c r="N2227"/>
  <c r="W2227"/>
  <c r="H2228"/>
  <c r="I2228"/>
  <c r="K2228"/>
  <c r="N2228"/>
  <c r="W2228"/>
  <c r="H2229"/>
  <c r="I2229"/>
  <c r="K2229"/>
  <c r="N2229"/>
  <c r="W2229"/>
  <c r="H2230"/>
  <c r="I2230"/>
  <c r="K2230"/>
  <c r="N2230"/>
  <c r="W2230"/>
  <c r="H2231"/>
  <c r="I2231"/>
  <c r="K2231"/>
  <c r="N2231"/>
  <c r="W2231"/>
  <c r="H2232"/>
  <c r="I2232"/>
  <c r="K2232"/>
  <c r="N2232"/>
  <c r="W2232"/>
  <c r="H2233"/>
  <c r="I2233"/>
  <c r="K2233"/>
  <c r="N2233"/>
  <c r="W2233"/>
  <c r="H2234"/>
  <c r="I2234"/>
  <c r="K2234"/>
  <c r="N2234"/>
  <c r="W2234"/>
  <c r="H2235"/>
  <c r="I2235"/>
  <c r="K2235"/>
  <c r="N2235"/>
  <c r="W2235"/>
  <c r="H2236"/>
  <c r="I2236"/>
  <c r="K2236"/>
  <c r="N2236"/>
  <c r="W2236"/>
  <c r="H2237"/>
  <c r="I2237"/>
  <c r="K2237"/>
  <c r="N2237"/>
  <c r="W2237"/>
  <c r="H2238"/>
  <c r="I2238"/>
  <c r="K2238"/>
  <c r="N2238"/>
  <c r="W2238"/>
  <c r="H2239"/>
  <c r="I2239"/>
  <c r="K2239"/>
  <c r="N2239"/>
  <c r="W2239"/>
  <c r="H2240"/>
  <c r="I2240"/>
  <c r="K2240"/>
  <c r="N2240"/>
  <c r="W2240"/>
  <c r="H2241"/>
  <c r="I2241"/>
  <c r="K2241"/>
  <c r="N2241"/>
  <c r="W2241"/>
  <c r="H2242"/>
  <c r="I2242"/>
  <c r="K2242"/>
  <c r="N2242"/>
  <c r="W2242"/>
  <c r="H2243"/>
  <c r="I2243"/>
  <c r="K2243"/>
  <c r="N2243"/>
  <c r="W2243"/>
  <c r="H2244"/>
  <c r="I2244"/>
  <c r="K2244"/>
  <c r="N2244"/>
  <c r="W2244"/>
  <c r="H2245"/>
  <c r="I2245"/>
  <c r="K2245"/>
  <c r="N2245"/>
  <c r="W2245"/>
  <c r="H2246"/>
  <c r="I2246"/>
  <c r="K2246"/>
  <c r="N2246"/>
  <c r="W2246"/>
  <c r="H2247"/>
  <c r="I2247"/>
  <c r="K2247"/>
  <c r="N2247"/>
  <c r="W2247"/>
  <c r="H2248"/>
  <c r="I2248"/>
  <c r="K2248"/>
  <c r="N2248"/>
  <c r="W2248"/>
  <c r="H2249"/>
  <c r="I2249"/>
  <c r="K2249"/>
  <c r="N2249"/>
  <c r="W2249"/>
  <c r="H2250"/>
  <c r="I2250"/>
  <c r="K2250"/>
  <c r="N2250"/>
  <c r="W2250"/>
  <c r="H2251"/>
  <c r="I2251"/>
  <c r="K2251"/>
  <c r="N2251"/>
  <c r="W2251"/>
  <c r="H2252"/>
  <c r="I2252"/>
  <c r="K2252"/>
  <c r="N2252"/>
  <c r="W2252"/>
  <c r="H2253"/>
  <c r="I2253"/>
  <c r="K2253"/>
  <c r="N2253"/>
  <c r="W2253"/>
  <c r="H2254"/>
  <c r="I2254"/>
  <c r="K2254"/>
  <c r="N2254"/>
  <c r="W2254"/>
  <c r="H2255"/>
  <c r="I2255"/>
  <c r="K2255"/>
  <c r="N2255"/>
  <c r="W2255"/>
  <c r="H2256"/>
  <c r="I2256"/>
  <c r="K2256"/>
  <c r="N2256"/>
  <c r="W2256"/>
  <c r="H2257"/>
  <c r="I2257"/>
  <c r="K2257"/>
  <c r="N2257"/>
  <c r="W2257"/>
  <c r="H2258"/>
  <c r="I2258"/>
  <c r="K2258"/>
  <c r="N2258"/>
  <c r="W2258"/>
  <c r="H2259"/>
  <c r="I2259"/>
  <c r="K2259"/>
  <c r="N2259"/>
  <c r="W2259"/>
  <c r="H2260"/>
  <c r="I2260"/>
  <c r="K2260"/>
  <c r="N2260"/>
  <c r="W2260"/>
  <c r="H2261"/>
  <c r="I2261"/>
  <c r="K2261"/>
  <c r="N2261"/>
  <c r="W2261"/>
  <c r="H2262"/>
  <c r="I2262"/>
  <c r="K2262"/>
  <c r="N2262"/>
  <c r="W2262"/>
  <c r="H2263"/>
  <c r="I2263"/>
  <c r="K2263"/>
  <c r="N2263"/>
  <c r="W2263"/>
  <c r="H2264"/>
  <c r="I2264"/>
  <c r="K2264"/>
  <c r="N2264"/>
  <c r="W2264"/>
  <c r="H2265"/>
  <c r="I2265"/>
  <c r="K2265"/>
  <c r="N2265"/>
  <c r="W2265"/>
  <c r="H2266"/>
  <c r="I2266"/>
  <c r="K2266"/>
  <c r="N2266"/>
  <c r="W2266"/>
  <c r="H2267"/>
  <c r="I2267"/>
  <c r="K2267"/>
  <c r="N2267"/>
  <c r="W2267"/>
  <c r="H2268"/>
  <c r="I2268"/>
  <c r="K2268"/>
  <c r="N2268"/>
  <c r="W2268"/>
  <c r="H2269"/>
  <c r="I2269"/>
  <c r="K2269"/>
  <c r="N2269"/>
  <c r="W2269"/>
  <c r="H2270"/>
  <c r="I2270"/>
  <c r="K2270"/>
  <c r="N2270"/>
  <c r="W2270"/>
  <c r="H2271"/>
  <c r="I2271"/>
  <c r="K2271"/>
  <c r="N2271"/>
  <c r="W2271"/>
  <c r="H2272"/>
  <c r="I2272"/>
  <c r="K2272"/>
  <c r="N2272"/>
  <c r="W2272"/>
  <c r="H2273"/>
  <c r="I2273"/>
  <c r="K2273"/>
  <c r="N2273"/>
  <c r="W2273"/>
  <c r="H2274"/>
  <c r="I2274"/>
  <c r="K2274"/>
  <c r="N2274"/>
  <c r="W2274"/>
  <c r="H2275"/>
  <c r="I2275"/>
  <c r="K2275"/>
  <c r="N2275"/>
  <c r="W2275"/>
  <c r="H2276"/>
  <c r="I2276"/>
  <c r="K2276"/>
  <c r="N2276"/>
  <c r="W2276"/>
  <c r="H2277"/>
  <c r="I2277"/>
  <c r="K2277"/>
  <c r="N2277"/>
  <c r="W2277"/>
  <c r="H2278"/>
  <c r="I2278"/>
  <c r="K2278"/>
  <c r="N2278"/>
  <c r="W2278"/>
  <c r="H2279"/>
  <c r="I2279"/>
  <c r="K2279"/>
  <c r="N2279"/>
  <c r="W2279"/>
  <c r="H2280"/>
  <c r="I2280"/>
  <c r="K2280"/>
  <c r="N2280"/>
  <c r="W2280"/>
  <c r="H2281"/>
  <c r="I2281"/>
  <c r="K2281"/>
  <c r="N2281"/>
  <c r="W2281"/>
  <c r="H2282"/>
  <c r="I2282"/>
  <c r="K2282"/>
  <c r="N2282"/>
  <c r="W2282"/>
  <c r="H2283"/>
  <c r="I2283"/>
  <c r="K2283"/>
  <c r="N2283"/>
  <c r="W2283"/>
  <c r="H2284"/>
  <c r="I2284"/>
  <c r="K2284"/>
  <c r="N2284"/>
  <c r="W2284"/>
  <c r="H2285"/>
  <c r="I2285"/>
  <c r="K2285"/>
  <c r="N2285"/>
  <c r="W2285"/>
  <c r="H2286"/>
  <c r="I2286"/>
  <c r="K2286"/>
  <c r="N2286"/>
  <c r="W2286"/>
  <c r="H2287"/>
  <c r="I2287"/>
  <c r="K2287"/>
  <c r="N2287"/>
  <c r="W2287"/>
  <c r="H2288"/>
  <c r="I2288"/>
  <c r="K2288"/>
  <c r="N2288"/>
  <c r="W2288"/>
  <c r="H2289"/>
  <c r="I2289"/>
  <c r="K2289"/>
  <c r="N2289"/>
  <c r="W2289"/>
  <c r="H2290"/>
  <c r="I2290"/>
  <c r="K2290"/>
  <c r="N2290"/>
  <c r="W2290"/>
  <c r="H2291"/>
  <c r="I2291"/>
  <c r="K2291"/>
  <c r="N2291"/>
  <c r="W2291"/>
  <c r="H2292"/>
  <c r="I2292"/>
  <c r="K2292"/>
  <c r="N2292"/>
  <c r="W2292"/>
  <c r="H2293"/>
  <c r="I2293"/>
  <c r="K2293"/>
  <c r="N2293"/>
  <c r="W2293"/>
  <c r="H2294"/>
  <c r="I2294"/>
  <c r="K2294"/>
  <c r="N2294"/>
  <c r="W2294"/>
  <c r="H2295"/>
  <c r="I2295"/>
  <c r="K2295"/>
  <c r="N2295"/>
  <c r="W2295"/>
  <c r="H2296"/>
  <c r="I2296"/>
  <c r="K2296"/>
  <c r="N2296"/>
  <c r="W2296"/>
  <c r="H2297"/>
  <c r="I2297"/>
  <c r="K2297"/>
  <c r="N2297"/>
  <c r="W2297"/>
  <c r="H2298"/>
  <c r="I2298"/>
  <c r="K2298"/>
  <c r="N2298"/>
  <c r="W2298"/>
  <c r="H2299"/>
  <c r="I2299"/>
  <c r="K2299"/>
  <c r="N2299"/>
  <c r="W2299"/>
  <c r="H2300"/>
  <c r="I2300"/>
  <c r="K2300"/>
  <c r="N2300"/>
  <c r="W2300"/>
  <c r="H2301"/>
  <c r="I2301"/>
  <c r="K2301"/>
  <c r="N2301"/>
  <c r="W2301"/>
  <c r="H2302"/>
  <c r="I2302"/>
  <c r="K2302"/>
  <c r="N2302"/>
  <c r="W2302"/>
  <c r="H2303"/>
  <c r="I2303"/>
  <c r="K2303"/>
  <c r="N2303"/>
  <c r="W2303"/>
  <c r="H2304"/>
  <c r="I2304"/>
  <c r="K2304"/>
  <c r="N2304"/>
  <c r="W2304"/>
  <c r="H2305"/>
  <c r="I2305"/>
  <c r="K2305"/>
  <c r="N2305"/>
  <c r="W2305"/>
  <c r="H2306"/>
  <c r="I2306"/>
  <c r="K2306"/>
  <c r="N2306"/>
  <c r="W2306"/>
  <c r="H2307"/>
  <c r="I2307"/>
  <c r="K2307"/>
  <c r="N2307"/>
  <c r="W2307"/>
  <c r="H2308"/>
  <c r="I2308"/>
  <c r="K2308"/>
  <c r="N2308"/>
  <c r="W2308"/>
  <c r="H2309"/>
  <c r="I2309"/>
  <c r="K2309"/>
  <c r="N2309"/>
  <c r="W2309"/>
  <c r="H2310"/>
  <c r="I2310"/>
  <c r="K2310"/>
  <c r="N2310"/>
  <c r="W2310"/>
  <c r="H2311"/>
  <c r="I2311"/>
  <c r="K2311"/>
  <c r="N2311"/>
  <c r="W2311"/>
  <c r="H2312"/>
  <c r="I2312"/>
  <c r="K2312"/>
  <c r="N2312"/>
  <c r="W2312"/>
  <c r="H2313"/>
  <c r="I2313"/>
  <c r="K2313"/>
  <c r="N2313"/>
  <c r="W2313"/>
  <c r="H2314"/>
  <c r="I2314"/>
  <c r="K2314"/>
  <c r="N2314"/>
  <c r="W2314"/>
  <c r="H2315"/>
  <c r="I2315"/>
  <c r="K2315"/>
  <c r="N2315"/>
  <c r="W2315"/>
  <c r="H2316"/>
  <c r="I2316"/>
  <c r="K2316"/>
  <c r="N2316"/>
  <c r="W2316"/>
  <c r="H2317"/>
  <c r="I2317"/>
  <c r="K2317"/>
  <c r="N2317"/>
  <c r="W2317"/>
  <c r="H2318"/>
  <c r="I2318"/>
  <c r="K2318"/>
  <c r="N2318"/>
  <c r="W2318"/>
  <c r="H2319"/>
  <c r="I2319"/>
  <c r="K2319"/>
  <c r="N2319"/>
  <c r="W2319"/>
  <c r="H2320"/>
  <c r="I2320"/>
  <c r="K2320"/>
  <c r="N2320"/>
  <c r="W2320"/>
  <c r="H2321"/>
  <c r="I2321"/>
  <c r="K2321"/>
  <c r="N2321"/>
  <c r="W2321"/>
  <c r="H2322"/>
  <c r="I2322"/>
  <c r="K2322"/>
  <c r="N2322"/>
  <c r="W2322"/>
  <c r="H2323"/>
  <c r="I2323"/>
  <c r="K2323"/>
  <c r="N2323"/>
  <c r="W2323"/>
  <c r="H2324"/>
  <c r="I2324"/>
  <c r="K2324"/>
  <c r="N2324"/>
  <c r="W2324"/>
  <c r="H2325"/>
  <c r="I2325"/>
  <c r="K2325"/>
  <c r="N2325"/>
  <c r="W2325"/>
  <c r="H2326"/>
  <c r="I2326"/>
  <c r="K2326"/>
  <c r="N2326"/>
  <c r="W2326"/>
  <c r="H2327"/>
  <c r="I2327"/>
  <c r="K2327"/>
  <c r="N2327"/>
  <c r="W2327"/>
  <c r="H2328"/>
  <c r="I2328"/>
  <c r="K2328"/>
  <c r="N2328"/>
  <c r="W2328"/>
  <c r="H2329"/>
  <c r="I2329"/>
  <c r="K2329"/>
  <c r="N2329"/>
  <c r="W2329"/>
  <c r="H2330"/>
  <c r="I2330"/>
  <c r="K2330"/>
  <c r="N2330"/>
  <c r="W2330"/>
  <c r="H2331"/>
  <c r="I2331"/>
  <c r="K2331"/>
  <c r="N2331"/>
  <c r="W2331"/>
  <c r="H2332"/>
  <c r="I2332"/>
  <c r="K2332"/>
  <c r="N2332"/>
  <c r="W2332"/>
  <c r="H2333"/>
  <c r="I2333"/>
  <c r="K2333"/>
  <c r="N2333"/>
  <c r="W2333"/>
  <c r="H2334"/>
  <c r="I2334"/>
  <c r="K2334"/>
  <c r="N2334"/>
  <c r="W2334"/>
  <c r="H2335"/>
  <c r="I2335"/>
  <c r="K2335"/>
  <c r="N2335"/>
  <c r="W2335"/>
  <c r="H2336"/>
  <c r="I2336"/>
  <c r="K2336"/>
  <c r="N2336"/>
  <c r="W2336"/>
  <c r="H2337"/>
  <c r="I2337"/>
  <c r="K2337"/>
  <c r="N2337"/>
  <c r="W2337"/>
  <c r="H2338"/>
  <c r="I2338"/>
  <c r="K2338"/>
  <c r="N2338"/>
  <c r="W2338"/>
  <c r="H2339"/>
  <c r="I2339"/>
  <c r="K2339"/>
  <c r="N2339"/>
  <c r="W2339"/>
  <c r="H2340"/>
  <c r="I2340"/>
  <c r="K2340"/>
  <c r="N2340"/>
  <c r="W2340"/>
  <c r="H2341"/>
  <c r="I2341"/>
  <c r="K2341"/>
  <c r="N2341"/>
  <c r="W2341"/>
  <c r="H2342"/>
  <c r="I2342"/>
  <c r="K2342"/>
  <c r="N2342"/>
  <c r="W2342"/>
  <c r="H2343"/>
  <c r="I2343"/>
  <c r="K2343"/>
  <c r="N2343"/>
  <c r="W2343"/>
  <c r="H2344"/>
  <c r="I2344"/>
  <c r="K2344"/>
  <c r="N2344"/>
  <c r="W2344"/>
  <c r="H2345"/>
  <c r="I2345"/>
  <c r="K2345"/>
  <c r="N2345"/>
  <c r="W2345"/>
  <c r="H2346"/>
  <c r="I2346"/>
  <c r="K2346"/>
  <c r="N2346"/>
  <c r="W2346"/>
  <c r="H2347"/>
  <c r="I2347"/>
  <c r="K2347"/>
  <c r="N2347"/>
  <c r="W2347"/>
  <c r="H2348"/>
  <c r="I2348"/>
  <c r="K2348"/>
  <c r="N2348"/>
  <c r="W2348"/>
  <c r="H2349"/>
  <c r="I2349"/>
  <c r="K2349"/>
  <c r="N2349"/>
  <c r="W2349"/>
  <c r="H2350"/>
  <c r="I2350"/>
  <c r="K2350"/>
  <c r="N2350"/>
  <c r="W2350"/>
  <c r="H2351"/>
  <c r="I2351"/>
  <c r="K2351"/>
  <c r="N2351"/>
  <c r="W2351"/>
  <c r="H2352"/>
  <c r="I2352"/>
  <c r="K2352"/>
  <c r="N2352"/>
  <c r="W2352"/>
  <c r="H2353"/>
  <c r="I2353"/>
  <c r="K2353"/>
  <c r="N2353"/>
  <c r="W2353"/>
  <c r="H2354"/>
  <c r="I2354"/>
  <c r="K2354"/>
  <c r="N2354"/>
  <c r="W2354"/>
  <c r="H2355"/>
  <c r="I2355"/>
  <c r="K2355"/>
  <c r="N2355"/>
  <c r="W2355"/>
  <c r="H2356"/>
  <c r="I2356"/>
  <c r="K2356"/>
  <c r="N2356"/>
  <c r="W2356"/>
  <c r="H2357"/>
  <c r="I2357"/>
  <c r="K2357"/>
  <c r="N2357"/>
  <c r="W2357"/>
  <c r="H2358"/>
  <c r="I2358"/>
  <c r="K2358"/>
  <c r="N2358"/>
  <c r="W2358"/>
  <c r="H2359"/>
  <c r="I2359"/>
  <c r="K2359"/>
  <c r="N2359"/>
  <c r="W2359"/>
  <c r="H2360"/>
  <c r="I2360"/>
  <c r="K2360"/>
  <c r="N2360"/>
  <c r="W2360"/>
  <c r="H2361"/>
  <c r="I2361"/>
  <c r="K2361"/>
  <c r="N2361"/>
  <c r="W2361"/>
  <c r="H2362"/>
  <c r="I2362"/>
  <c r="K2362"/>
  <c r="N2362"/>
  <c r="W2362"/>
  <c r="H2363"/>
  <c r="I2363"/>
  <c r="K2363"/>
  <c r="N2363"/>
  <c r="W2363"/>
  <c r="H2364"/>
  <c r="I2364"/>
  <c r="K2364"/>
  <c r="N2364"/>
  <c r="W2364"/>
  <c r="H2365"/>
  <c r="I2365"/>
  <c r="K2365"/>
  <c r="N2365"/>
  <c r="W2365"/>
  <c r="H2366"/>
  <c r="I2366"/>
  <c r="K2366"/>
  <c r="N2366"/>
  <c r="W2366"/>
  <c r="H2367"/>
  <c r="I2367"/>
  <c r="K2367"/>
  <c r="N2367"/>
  <c r="W2367"/>
  <c r="H2368"/>
  <c r="I2368"/>
  <c r="K2368"/>
  <c r="N2368"/>
  <c r="W2368"/>
  <c r="H2369"/>
  <c r="I2369"/>
  <c r="K2369"/>
  <c r="N2369"/>
  <c r="W2369"/>
  <c r="H2370"/>
  <c r="I2370"/>
  <c r="K2370"/>
  <c r="N2370"/>
  <c r="W2370"/>
  <c r="H2371"/>
  <c r="I2371"/>
  <c r="K2371"/>
  <c r="N2371"/>
  <c r="W2371"/>
  <c r="H2372"/>
  <c r="I2372"/>
  <c r="K2372"/>
  <c r="N2372"/>
  <c r="W2372"/>
  <c r="H2373"/>
  <c r="I2373"/>
  <c r="K2373"/>
  <c r="N2373"/>
  <c r="W2373"/>
  <c r="H2374"/>
  <c r="I2374"/>
  <c r="K2374"/>
  <c r="N2374"/>
  <c r="W2374"/>
  <c r="H2375"/>
  <c r="I2375"/>
  <c r="K2375"/>
  <c r="N2375"/>
  <c r="W2375"/>
  <c r="H2376"/>
  <c r="I2376"/>
  <c r="K2376"/>
  <c r="N2376"/>
  <c r="W2376"/>
  <c r="H2377"/>
  <c r="I2377"/>
  <c r="K2377"/>
  <c r="N2377"/>
  <c r="W2377"/>
  <c r="H2378"/>
  <c r="I2378"/>
  <c r="K2378"/>
  <c r="N2378"/>
  <c r="W2378"/>
  <c r="H2379"/>
  <c r="I2379"/>
  <c r="K2379"/>
  <c r="N2379"/>
  <c r="W2379"/>
  <c r="H2380"/>
  <c r="I2380"/>
  <c r="K2380"/>
  <c r="N2380"/>
  <c r="W2380"/>
  <c r="H2381"/>
  <c r="I2381"/>
  <c r="K2381"/>
  <c r="N2381"/>
  <c r="W2381"/>
  <c r="H2382"/>
  <c r="I2382"/>
  <c r="K2382"/>
  <c r="N2382"/>
  <c r="W2382"/>
  <c r="H2383"/>
  <c r="I2383"/>
  <c r="K2383"/>
  <c r="N2383"/>
  <c r="W2383"/>
  <c r="H2384"/>
  <c r="I2384"/>
  <c r="K2384"/>
  <c r="N2384"/>
  <c r="W2384"/>
  <c r="H2385"/>
  <c r="I2385"/>
  <c r="K2385"/>
  <c r="N2385"/>
  <c r="W2385"/>
  <c r="H2386"/>
  <c r="I2386"/>
  <c r="K2386"/>
  <c r="N2386"/>
  <c r="W2386"/>
  <c r="H2387"/>
  <c r="I2387"/>
  <c r="K2387"/>
  <c r="N2387"/>
  <c r="W2387"/>
  <c r="H2388"/>
  <c r="I2388"/>
  <c r="K2388"/>
  <c r="N2388"/>
  <c r="W2388"/>
  <c r="H2389"/>
  <c r="I2389"/>
  <c r="K2389"/>
  <c r="N2389"/>
  <c r="W2389"/>
  <c r="H2390"/>
  <c r="I2390"/>
  <c r="K2390"/>
  <c r="N2390"/>
  <c r="W2390"/>
  <c r="H2391"/>
  <c r="I2391"/>
  <c r="K2391"/>
  <c r="N2391"/>
  <c r="W2391"/>
  <c r="H2392"/>
  <c r="I2392"/>
  <c r="K2392"/>
  <c r="N2392"/>
  <c r="W2392"/>
  <c r="H2393"/>
  <c r="I2393"/>
  <c r="K2393"/>
  <c r="N2393"/>
  <c r="W2393"/>
  <c r="H2394"/>
  <c r="I2394"/>
  <c r="K2394"/>
  <c r="N2394"/>
  <c r="W2394"/>
  <c r="H2395"/>
  <c r="I2395"/>
  <c r="K2395"/>
  <c r="N2395"/>
  <c r="W2395"/>
  <c r="H2396"/>
  <c r="I2396"/>
  <c r="K2396"/>
  <c r="N2396"/>
  <c r="W2396"/>
  <c r="H2397"/>
  <c r="I2397"/>
  <c r="K2397"/>
  <c r="N2397"/>
  <c r="W2397"/>
  <c r="H2398"/>
  <c r="I2398"/>
  <c r="K2398"/>
  <c r="N2398"/>
  <c r="W2398"/>
  <c r="H2399"/>
  <c r="I2399"/>
  <c r="K2399"/>
  <c r="N2399"/>
  <c r="W2399"/>
  <c r="H2400"/>
  <c r="I2400"/>
  <c r="K2400"/>
  <c r="N2400"/>
  <c r="W2400"/>
  <c r="H2401"/>
  <c r="I2401"/>
  <c r="K2401"/>
  <c r="N2401"/>
  <c r="W2401"/>
  <c r="H2402"/>
  <c r="I2402"/>
  <c r="K2402"/>
  <c r="N2402"/>
  <c r="W2402"/>
  <c r="H2403"/>
  <c r="I2403"/>
  <c r="K2403"/>
  <c r="N2403"/>
  <c r="W2403"/>
  <c r="H2404"/>
  <c r="I2404"/>
  <c r="K2404"/>
  <c r="N2404"/>
  <c r="W2404"/>
  <c r="H2405"/>
  <c r="I2405"/>
  <c r="K2405"/>
  <c r="N2405"/>
  <c r="W2405"/>
  <c r="H2406"/>
  <c r="I2406"/>
  <c r="K2406"/>
  <c r="N2406"/>
  <c r="W2406"/>
  <c r="H2407"/>
  <c r="I2407"/>
  <c r="K2407"/>
  <c r="N2407"/>
  <c r="W2407"/>
  <c r="H2408"/>
  <c r="I2408"/>
  <c r="K2408"/>
  <c r="N2408"/>
  <c r="W2408"/>
  <c r="H2409"/>
  <c r="I2409"/>
  <c r="K2409"/>
  <c r="N2409"/>
  <c r="W2409"/>
  <c r="H2410"/>
  <c r="I2410"/>
  <c r="K2410"/>
  <c r="N2410"/>
  <c r="W2410"/>
  <c r="H2411"/>
  <c r="I2411"/>
  <c r="K2411"/>
  <c r="N2411"/>
  <c r="W2411"/>
  <c r="H2412"/>
  <c r="I2412"/>
  <c r="K2412"/>
  <c r="N2412"/>
  <c r="W2412"/>
  <c r="H2413"/>
  <c r="I2413"/>
  <c r="K2413"/>
  <c r="N2413"/>
  <c r="W2413"/>
  <c r="H2414"/>
  <c r="I2414"/>
  <c r="K2414"/>
  <c r="N2414"/>
  <c r="W2414"/>
  <c r="H2415"/>
  <c r="I2415"/>
  <c r="K2415"/>
  <c r="N2415"/>
  <c r="W2415"/>
  <c r="H2416"/>
  <c r="I2416"/>
  <c r="K2416"/>
  <c r="N2416"/>
  <c r="W2416"/>
  <c r="H2417"/>
  <c r="I2417"/>
  <c r="K2417"/>
  <c r="N2417"/>
  <c r="W2417"/>
  <c r="H2418"/>
  <c r="I2418"/>
  <c r="K2418"/>
  <c r="N2418"/>
  <c r="W2418"/>
  <c r="H2419"/>
  <c r="I2419"/>
  <c r="K2419"/>
  <c r="N2419"/>
  <c r="W2419"/>
  <c r="H2420"/>
  <c r="I2420"/>
  <c r="K2420"/>
  <c r="N2420"/>
  <c r="W2420"/>
  <c r="H2421"/>
  <c r="I2421"/>
  <c r="K2421"/>
  <c r="N2421"/>
  <c r="W2421"/>
  <c r="H2422"/>
  <c r="I2422"/>
  <c r="K2422"/>
  <c r="N2422"/>
  <c r="W2422"/>
  <c r="H2423"/>
  <c r="I2423"/>
  <c r="K2423"/>
  <c r="N2423"/>
  <c r="W2423"/>
  <c r="H2424"/>
  <c r="I2424"/>
  <c r="K2424"/>
  <c r="N2424"/>
  <c r="W2424"/>
  <c r="H2425"/>
  <c r="I2425"/>
  <c r="K2425"/>
  <c r="N2425"/>
  <c r="W2425"/>
  <c r="H2426"/>
  <c r="I2426"/>
  <c r="K2426"/>
  <c r="N2426"/>
  <c r="W2426"/>
  <c r="H2427"/>
  <c r="I2427"/>
  <c r="K2427"/>
  <c r="N2427"/>
  <c r="W2427"/>
  <c r="H2428"/>
  <c r="I2428"/>
  <c r="K2428"/>
  <c r="N2428"/>
  <c r="W2428"/>
  <c r="H2429"/>
  <c r="I2429"/>
  <c r="K2429"/>
  <c r="N2429"/>
  <c r="W2429"/>
  <c r="H2430"/>
  <c r="I2430"/>
  <c r="K2430"/>
  <c r="N2430"/>
  <c r="W2430"/>
  <c r="H2431"/>
  <c r="I2431"/>
  <c r="K2431"/>
  <c r="N2431"/>
  <c r="W2431"/>
  <c r="H2432"/>
  <c r="I2432"/>
  <c r="K2432"/>
  <c r="N2432"/>
  <c r="W2432"/>
  <c r="H2433"/>
  <c r="I2433"/>
  <c r="K2433"/>
  <c r="N2433"/>
  <c r="W2433"/>
  <c r="H2434"/>
  <c r="I2434"/>
  <c r="K2434"/>
  <c r="N2434"/>
  <c r="W2434"/>
  <c r="H2435"/>
  <c r="I2435"/>
  <c r="K2435"/>
  <c r="N2435"/>
  <c r="W2435"/>
  <c r="H2436"/>
  <c r="I2436"/>
  <c r="K2436"/>
  <c r="N2436"/>
  <c r="W2436"/>
  <c r="H2437"/>
  <c r="I2437"/>
  <c r="K2437"/>
  <c r="N2437"/>
  <c r="W2437"/>
  <c r="H2438"/>
  <c r="I2438"/>
  <c r="K2438"/>
  <c r="N2438"/>
  <c r="W2438"/>
  <c r="H2439"/>
  <c r="I2439"/>
  <c r="K2439"/>
  <c r="N2439"/>
  <c r="W2439"/>
  <c r="H2440"/>
  <c r="I2440"/>
  <c r="K2440"/>
  <c r="N2440"/>
  <c r="W2440"/>
  <c r="H2441"/>
  <c r="I2441"/>
  <c r="K2441"/>
  <c r="N2441"/>
  <c r="W2441"/>
  <c r="H2442"/>
  <c r="I2442"/>
  <c r="K2442"/>
  <c r="N2442"/>
  <c r="W2442"/>
  <c r="H2443"/>
  <c r="I2443"/>
  <c r="K2443"/>
  <c r="N2443"/>
  <c r="W2443"/>
  <c r="H2444"/>
  <c r="I2444"/>
  <c r="K2444"/>
  <c r="N2444"/>
  <c r="W2444"/>
  <c r="H2445"/>
  <c r="I2445"/>
  <c r="K2445"/>
  <c r="N2445"/>
  <c r="W2445"/>
  <c r="H2446"/>
  <c r="I2446"/>
  <c r="K2446"/>
  <c r="N2446"/>
  <c r="W2446"/>
  <c r="H2447"/>
  <c r="I2447"/>
  <c r="K2447"/>
  <c r="N2447"/>
  <c r="W2447"/>
  <c r="H2448"/>
  <c r="I2448"/>
  <c r="K2448"/>
  <c r="N2448"/>
  <c r="W2448"/>
  <c r="H2449"/>
  <c r="I2449"/>
  <c r="K2449"/>
  <c r="N2449"/>
  <c r="W2449"/>
  <c r="H2450"/>
  <c r="I2450"/>
  <c r="K2450"/>
  <c r="N2450"/>
  <c r="W2450"/>
  <c r="H2451"/>
  <c r="I2451"/>
  <c r="K2451"/>
  <c r="N2451"/>
  <c r="W2451"/>
  <c r="H2452"/>
  <c r="I2452"/>
  <c r="K2452"/>
  <c r="N2452"/>
  <c r="W2452"/>
  <c r="H2453"/>
  <c r="I2453"/>
  <c r="K2453"/>
  <c r="N2453"/>
  <c r="W2453"/>
  <c r="H2454"/>
  <c r="I2454"/>
  <c r="K2454"/>
  <c r="N2454"/>
  <c r="W2454"/>
  <c r="H2455"/>
  <c r="I2455"/>
  <c r="K2455"/>
  <c r="N2455"/>
  <c r="W2455"/>
  <c r="H2456"/>
  <c r="I2456"/>
  <c r="K2456"/>
  <c r="N2456"/>
  <c r="W2456"/>
  <c r="H2457"/>
  <c r="I2457"/>
  <c r="K2457"/>
  <c r="N2457"/>
  <c r="W2457"/>
  <c r="H2458"/>
  <c r="I2458"/>
  <c r="K2458"/>
  <c r="N2458"/>
  <c r="W2458"/>
  <c r="H2459"/>
  <c r="I2459"/>
  <c r="K2459"/>
  <c r="N2459"/>
  <c r="W2459"/>
  <c r="H2460"/>
  <c r="I2460"/>
  <c r="K2460"/>
  <c r="N2460"/>
  <c r="W2460"/>
  <c r="H2461"/>
  <c r="I2461"/>
  <c r="K2461"/>
  <c r="N2461"/>
  <c r="W2461"/>
  <c r="H2462"/>
  <c r="I2462"/>
  <c r="K2462"/>
  <c r="N2462"/>
  <c r="W2462"/>
  <c r="H2463"/>
  <c r="I2463"/>
  <c r="K2463"/>
  <c r="N2463"/>
  <c r="W2463"/>
  <c r="H2464"/>
  <c r="I2464"/>
  <c r="K2464"/>
  <c r="N2464"/>
  <c r="W2464"/>
  <c r="H2465"/>
  <c r="I2465"/>
  <c r="K2465"/>
  <c r="N2465"/>
  <c r="W2465"/>
  <c r="H2466"/>
  <c r="I2466"/>
  <c r="K2466"/>
  <c r="N2466"/>
  <c r="W2466"/>
  <c r="H2467"/>
  <c r="I2467"/>
  <c r="K2467"/>
  <c r="N2467"/>
  <c r="W2467"/>
  <c r="H2468"/>
  <c r="I2468"/>
  <c r="K2468"/>
  <c r="N2468"/>
  <c r="W2468"/>
  <c r="H2469"/>
  <c r="I2469"/>
  <c r="K2469"/>
  <c r="N2469"/>
  <c r="W2469"/>
  <c r="H2470"/>
  <c r="I2470"/>
  <c r="K2470"/>
  <c r="N2470"/>
  <c r="W2470"/>
  <c r="H2471"/>
  <c r="I2471"/>
  <c r="K2471"/>
  <c r="N2471"/>
  <c r="W2471"/>
  <c r="H2472"/>
  <c r="I2472"/>
  <c r="K2472"/>
  <c r="N2472"/>
  <c r="W2472"/>
  <c r="H2473"/>
  <c r="I2473"/>
  <c r="K2473"/>
  <c r="N2473"/>
  <c r="W2473"/>
  <c r="H2474"/>
  <c r="I2474"/>
  <c r="K2474"/>
  <c r="N2474"/>
  <c r="W2474"/>
  <c r="H2475"/>
  <c r="I2475"/>
  <c r="K2475"/>
  <c r="N2475"/>
  <c r="W2475"/>
  <c r="H2476"/>
  <c r="I2476"/>
  <c r="K2476"/>
  <c r="N2476"/>
  <c r="W2476"/>
  <c r="H2477"/>
  <c r="I2477"/>
  <c r="K2477"/>
  <c r="N2477"/>
  <c r="W2477"/>
  <c r="H2478"/>
  <c r="I2478"/>
  <c r="K2478"/>
  <c r="N2478"/>
  <c r="W2478"/>
  <c r="H2479"/>
  <c r="I2479"/>
  <c r="K2479"/>
  <c r="N2479"/>
  <c r="W2479"/>
  <c r="H2480"/>
  <c r="I2480"/>
  <c r="K2480"/>
  <c r="N2480"/>
  <c r="W2480"/>
  <c r="H2481"/>
  <c r="I2481"/>
  <c r="K2481"/>
  <c r="N2481"/>
  <c r="W2481"/>
  <c r="H2482"/>
  <c r="I2482"/>
  <c r="K2482"/>
  <c r="N2482"/>
  <c r="W2482"/>
  <c r="H2483"/>
  <c r="I2483"/>
  <c r="K2483"/>
  <c r="N2483"/>
  <c r="W2483"/>
  <c r="H2484"/>
  <c r="I2484"/>
  <c r="K2484"/>
  <c r="N2484"/>
  <c r="W2484"/>
  <c r="H2485"/>
  <c r="I2485"/>
  <c r="K2485"/>
  <c r="N2485"/>
  <c r="W2485"/>
  <c r="H2486"/>
  <c r="I2486"/>
  <c r="K2486"/>
  <c r="N2486"/>
  <c r="W2486"/>
  <c r="H2487"/>
  <c r="I2487"/>
  <c r="K2487"/>
  <c r="N2487"/>
  <c r="W2487"/>
  <c r="H2488"/>
  <c r="I2488"/>
  <c r="K2488"/>
  <c r="N2488"/>
  <c r="W2488"/>
  <c r="H2489"/>
  <c r="I2489"/>
  <c r="K2489"/>
  <c r="N2489"/>
  <c r="W2489"/>
  <c r="H2490"/>
  <c r="I2490"/>
  <c r="K2490"/>
  <c r="N2490"/>
  <c r="W2490"/>
  <c r="H2491"/>
  <c r="I2491"/>
  <c r="K2491"/>
  <c r="N2491"/>
  <c r="W2491"/>
  <c r="H2492"/>
  <c r="I2492"/>
  <c r="K2492"/>
  <c r="N2492"/>
  <c r="W2492"/>
</calcChain>
</file>

<file path=xl/sharedStrings.xml><?xml version="1.0" encoding="utf-8"?>
<sst xmlns="http://schemas.openxmlformats.org/spreadsheetml/2006/main" count="24389" uniqueCount="569">
  <si>
    <t>Dettaglio Elaborazione</t>
  </si>
  <si>
    <t>Conto</t>
  </si>
  <si>
    <t>Ragione Sociale</t>
  </si>
  <si>
    <t>Conto Cred. Deb.</t>
  </si>
  <si>
    <t>Decodifca Conto Cred deb</t>
  </si>
  <si>
    <t>Codice Esposto</t>
  </si>
  <si>
    <t xml:space="preserve">Descr Codice Esposto </t>
  </si>
  <si>
    <t>Secondo Codice</t>
  </si>
  <si>
    <t>Cod Fisc</t>
  </si>
  <si>
    <t>P IVA</t>
  </si>
  <si>
    <t>Stato Cee</t>
  </si>
  <si>
    <t>Partita IVA Cee</t>
  </si>
  <si>
    <t>Id Fiscale Estero</t>
  </si>
  <si>
    <t>Tipo Conto</t>
  </si>
  <si>
    <t>Classe Contabile</t>
  </si>
  <si>
    <t>Desc Classe Cli For</t>
  </si>
  <si>
    <t>Descrizione Documento</t>
  </si>
  <si>
    <t>Anno Partita</t>
  </si>
  <si>
    <t>Data Emissione</t>
  </si>
  <si>
    <t>Registrazione</t>
  </si>
  <si>
    <t>Decorrenza</t>
  </si>
  <si>
    <t>Scadenza</t>
  </si>
  <si>
    <t>Canale Pagamento</t>
  </si>
  <si>
    <t>Numero Partita</t>
  </si>
  <si>
    <t>Importo Fattura</t>
  </si>
  <si>
    <t>Altri Crediti Debiti</t>
  </si>
  <si>
    <t>Pagato Trimestre</t>
  </si>
  <si>
    <t>Giorni Medi Trimestre</t>
  </si>
  <si>
    <t>Montante Trimestre</t>
  </si>
  <si>
    <t>Pagato Anno</t>
  </si>
  <si>
    <t>Giorni Medi Anno</t>
  </si>
  <si>
    <t>Montante Anno</t>
  </si>
  <si>
    <t>Saldo</t>
  </si>
  <si>
    <t>Causale Sospensione</t>
  </si>
  <si>
    <t>Desc Causale Sospensione</t>
  </si>
  <si>
    <t>Scadenza Post Sospensione</t>
  </si>
  <si>
    <t>Competenza Mese</t>
  </si>
  <si>
    <t>Registrato Mese</t>
  </si>
  <si>
    <t>Emesso Mese</t>
  </si>
  <si>
    <t>Competenza Anno</t>
  </si>
  <si>
    <t>Registrato Anno</t>
  </si>
  <si>
    <t>Emesso Anno</t>
  </si>
  <si>
    <t>Data Elaborazione</t>
  </si>
  <si>
    <t>Utente Elaborazione</t>
  </si>
  <si>
    <t>Nominativo Utente</t>
  </si>
  <si>
    <t>Primo Pagamento</t>
  </si>
  <si>
    <t>Data Pagamento Min</t>
  </si>
  <si>
    <t>Pagamento Oltre</t>
  </si>
  <si>
    <t>Ultimo Pagamento</t>
  </si>
  <si>
    <t>Data Pagamento Max</t>
  </si>
  <si>
    <t>Scaduto nel mese</t>
  </si>
  <si>
    <t>Scaduto da 30</t>
  </si>
  <si>
    <t>Scaduto da 60</t>
  </si>
  <si>
    <t>Scaduto da 90</t>
  </si>
  <si>
    <t>Scaduto da 120</t>
  </si>
  <si>
    <t>Scaduto da 150</t>
  </si>
  <si>
    <t>Scaduto Oltre 180</t>
  </si>
  <si>
    <t>Totale Scaduto</t>
  </si>
  <si>
    <t>A scadere entro 30</t>
  </si>
  <si>
    <t>A scadere entro 60</t>
  </si>
  <si>
    <t>A scadere entro 90</t>
  </si>
  <si>
    <t>A scadere entro 120</t>
  </si>
  <si>
    <t>A scadere entro 150</t>
  </si>
  <si>
    <t>A scadere entro 180</t>
  </si>
  <si>
    <t>A scadere oltre 180</t>
  </si>
  <si>
    <t>Totale a scadere</t>
  </si>
  <si>
    <t>ABBOTT S.R.L.</t>
  </si>
  <si>
    <t>DEBITI VERSO FORNITORI</t>
  </si>
  <si>
    <t>Fornitori</t>
  </si>
  <si>
    <t>43300101 - DEBITI V/FORNITORI</t>
  </si>
  <si>
    <t>Fattura Ricevuta</t>
  </si>
  <si>
    <t>AS</t>
  </si>
  <si>
    <t>PETRELLA</t>
  </si>
  <si>
    <t>SI</t>
  </si>
  <si>
    <t>F</t>
  </si>
  <si>
    <t>Ric.Fattura</t>
  </si>
  <si>
    <t>ALFA INTES S.R.L.</t>
  </si>
  <si>
    <t>EDISON ENERGIA S.P.A.</t>
  </si>
  <si>
    <t>RAYS  S.P.A.</t>
  </si>
  <si>
    <t>DAIICHI SANKYO ITALIA S.P.A.</t>
  </si>
  <si>
    <t>ALERE S.R.L. (EX INVERNESS MEDICAL ITALIA S.R.L.)</t>
  </si>
  <si>
    <t>FIDES S.P.A.</t>
  </si>
  <si>
    <t>STIP. GEN. 2017</t>
  </si>
  <si>
    <t>STIP FEBBRAIO 2017</t>
  </si>
  <si>
    <t>STIPENDI MARZO 2017</t>
  </si>
  <si>
    <t>ALCON ITALIA S.P.A.</t>
  </si>
  <si>
    <t>BAYER S.P.A.</t>
  </si>
  <si>
    <t>BOEHRINGER INGELHEIM ITALIA   S.P.A.</t>
  </si>
  <si>
    <t>BRISTOL MYERS SQUIBB S.R.L.</t>
  </si>
  <si>
    <t>Nota accr.Ricevuta</t>
  </si>
  <si>
    <t>SIEMENS HEALTHCARE SRL(exSiemens Health.Diagnost.)</t>
  </si>
  <si>
    <t>BECKMAN COULTER S.R.L.</t>
  </si>
  <si>
    <t>GE HEALTHCARE SRL ( EX AMERSHAM HEALTH SRL) -</t>
  </si>
  <si>
    <t>ORZELLECA PREMIAZIONI S.A.S.</t>
  </si>
  <si>
    <t>THERMO FISHER DIAGNOSTICS S.P.A.</t>
  </si>
  <si>
    <t>NEIKOS S.R.L.</t>
  </si>
  <si>
    <t>M.G.LORENZATTO S.R.L.</t>
  </si>
  <si>
    <t>CRAL OSPEDALIERO</t>
  </si>
  <si>
    <t>ALTRI DEBITI DIVERSI</t>
  </si>
  <si>
    <t>43500101 - DEBITI V/ALTRI</t>
  </si>
  <si>
    <t>MEDISOL S.R.L.</t>
  </si>
  <si>
    <t>BANCA DI CREDITO POPOLARE SCARL.</t>
  </si>
  <si>
    <t>43500101 - DEBITI V/ASSICURAZIONI E IST.CREDITO</t>
  </si>
  <si>
    <t>INPDAP PREST. NON CARTOLARIZ. SOVVENZ. CPS</t>
  </si>
  <si>
    <t>INPDAP PREST. NON CARTOLARIZ. SOVVENZ. CPDEL</t>
  </si>
  <si>
    <t>INPDAP PREST.NON CARTOLARIZ. PICC. PREST. CPDEL</t>
  </si>
  <si>
    <t>INPDAP PREST. NON CARTOLARIZ. PICC. PREST. CPS</t>
  </si>
  <si>
    <t>MINICOZZI ANTONIETTA</t>
  </si>
  <si>
    <t>BANCA POPOLARE PUGLIESE SCPA</t>
  </si>
  <si>
    <t>BIO-RAD LABORATORIES S.R.L.</t>
  </si>
  <si>
    <t>BECTON DICKINSON ITALIA S.P.A.</t>
  </si>
  <si>
    <t>TEMA SINERGIE S.P.A.</t>
  </si>
  <si>
    <t>DYNAMED SNC</t>
  </si>
  <si>
    <t>JOHNSON &amp; JOHNSON MEDICAL S.P.A.</t>
  </si>
  <si>
    <t>MPM ITALIA SRL SOCIETA' UNIPERSONALE</t>
  </si>
  <si>
    <t>DEL VECCHIO  BENEDETTO</t>
  </si>
  <si>
    <t>43500101 - DEBITI V/PROFESSIONISTI E LAV. AUTONOMI</t>
  </si>
  <si>
    <t>CAPPUCCIO ALFONSO S.R.L.</t>
  </si>
  <si>
    <t>CAVALLARO S.R.L.</t>
  </si>
  <si>
    <t>PORTO  IMMACOLATA</t>
  </si>
  <si>
    <t>Ric.Parcella</t>
  </si>
  <si>
    <t>L'EUROPEA ORG.NAZ.S.R.L.</t>
  </si>
  <si>
    <t>SEBIA ITALIA S.R.L. EX CIAMPOLINI</t>
  </si>
  <si>
    <t>GETINGE S.P.A.</t>
  </si>
  <si>
    <t>W.L. GORE &amp; ASSOCIATI S.R.L.</t>
  </si>
  <si>
    <t>FIDITALIA S.P.A.</t>
  </si>
  <si>
    <t>SIAD HEALTHCARE SPA ( EX CO.ME.SA.)</t>
  </si>
  <si>
    <t>GUIDO AMMIRATA S.R.L.</t>
  </si>
  <si>
    <t>EDWARDS LIFESCIENCES ITALIA S.P.A.</t>
  </si>
  <si>
    <t>MONDO EDP S.R.L.</t>
  </si>
  <si>
    <t>DATA PROCESSING S.P.A.</t>
  </si>
  <si>
    <t>EL.TO.  S.R.L.</t>
  </si>
  <si>
    <t>BOSCO  GIANMARCO</t>
  </si>
  <si>
    <t>SMITHS MEDICAL ITALIA S.R.L.</t>
  </si>
  <si>
    <t>HUMANA ITALIA S.P.A.</t>
  </si>
  <si>
    <t>FARMAC-ZABBAN   S.P.A.</t>
  </si>
  <si>
    <t>2T S.R.L.</t>
  </si>
  <si>
    <t>CIRILLO  VINCENZO</t>
  </si>
  <si>
    <t>GI GROUP SPA ( EX WORKNET GENERALE INDUSTRIELLE)</t>
  </si>
  <si>
    <t>ITALFARMACO S.P.A</t>
  </si>
  <si>
    <t>F.S.I.</t>
  </si>
  <si>
    <t>INTESTO S.R.L.</t>
  </si>
  <si>
    <t>SINTEA PLUSTEK S.R.L.</t>
  </si>
  <si>
    <t>TECNO - BIOS S.R.L.</t>
  </si>
  <si>
    <t>LA PULITECNICA S.R.L.</t>
  </si>
  <si>
    <t>Fattura Split Pay</t>
  </si>
  <si>
    <t>RUGGIERO  SEBASTIANO</t>
  </si>
  <si>
    <t>FRESENIUS KABI ITALIA S.R.L.</t>
  </si>
  <si>
    <t>ALPA S.R.L.</t>
  </si>
  <si>
    <t>NESTLE' ITALIANA S.P.A.</t>
  </si>
  <si>
    <t>GOGLIA  CONCETTA</t>
  </si>
  <si>
    <t>CIOTTA MARIA SAVERIA</t>
  </si>
  <si>
    <t>ENDO MEDICAL SERVICE S.R.L.</t>
  </si>
  <si>
    <t>A.S.I.A. BENEVENTO S.P.A.</t>
  </si>
  <si>
    <t>POSTE ITALIANES.P.A. ALT SUD INCASSI CONTI CREDITO</t>
  </si>
  <si>
    <t>POLIGRAFICA F.LLI ARIELLO EDITORI SAS</t>
  </si>
  <si>
    <t>ROCHE S.P.A.</t>
  </si>
  <si>
    <t>RADIM SPA-ORA FALLIMENTO RADIM SPA IN LIQUIDAZIONE</t>
  </si>
  <si>
    <t>fattura ricevuta</t>
  </si>
  <si>
    <t>POLIFARMA BENESSERE S.R.L.</t>
  </si>
  <si>
    <t>VASSALLO  ASSUNTA</t>
  </si>
  <si>
    <t>SEDA S.P.A.</t>
  </si>
  <si>
    <t>A.MENARINI DIAGNOSTICS S.R.L.</t>
  </si>
  <si>
    <t>SALVADORI LUIGI  S.P.A.</t>
  </si>
  <si>
    <t>CAP.ITAL.FIN. SPA</t>
  </si>
  <si>
    <t>3M ITALIA S.R.L.</t>
  </si>
  <si>
    <t>LECCIA  NICOLA IVAN</t>
  </si>
  <si>
    <t>RUBINO  MARIA</t>
  </si>
  <si>
    <t>CARL ZEISS S.P.A.</t>
  </si>
  <si>
    <t>STEFANUCCI GIUSEPPE</t>
  </si>
  <si>
    <t>BRACCO IMAGING ITALIA SRL</t>
  </si>
  <si>
    <t>IGM S.R.L. NAPOLI</t>
  </si>
  <si>
    <t>CARESTREAM HEALTH ITALIA SRL (RAMO KODAK)</t>
  </si>
  <si>
    <t>C.I.D. SOFTWARE STUDIO S.P.A.</t>
  </si>
  <si>
    <t>UNIFIN S.P.A.</t>
  </si>
  <si>
    <t>TECSUD S.R.L.</t>
  </si>
  <si>
    <t>SANITARIA ORTOPEDIA DI CARDONE PIA.</t>
  </si>
  <si>
    <t>INSTRUMENTATION LABORATORY S.P.A.</t>
  </si>
  <si>
    <t>IBISQUS S.R.L.</t>
  </si>
  <si>
    <t>BAXTER  S.P.A.</t>
  </si>
  <si>
    <t>ARTI GRAFICHE 2000  SAS</t>
  </si>
  <si>
    <t>CATALANO  GIANPAOLO</t>
  </si>
  <si>
    <t>DEMA HOSPITAL S.R.L.</t>
  </si>
  <si>
    <t>BIOTRONIK ITALIA S.P.A.</t>
  </si>
  <si>
    <t>EUROFARM  S.P.A.</t>
  </si>
  <si>
    <t>SVAS BIOSANA S.P.A.</t>
  </si>
  <si>
    <t>TECHNOGENETICS SRL</t>
  </si>
  <si>
    <t>UNICREDIT BANCA SPA</t>
  </si>
  <si>
    <t>COMM.NI CARICO ENTE</t>
  </si>
  <si>
    <t>OPER.VISA 12/2016</t>
  </si>
  <si>
    <t>OPER.CARTE PAGO-</t>
  </si>
  <si>
    <t>GIRO DA 30380/102123</t>
  </si>
  <si>
    <t>COMM.NI POS 12/2016</t>
  </si>
  <si>
    <t>CANONE POS 12/2016</t>
  </si>
  <si>
    <t>OPER.MAESTRO 12/2016</t>
  </si>
  <si>
    <t>II MUTUO 109^ RATA</t>
  </si>
  <si>
    <t>110^rata II MUTUO</t>
  </si>
  <si>
    <t>GIRO DA 102123201 A</t>
  </si>
  <si>
    <t>COMM.NI OPER. CARTE</t>
  </si>
  <si>
    <t>CANONE POS MESE 1</t>
  </si>
  <si>
    <t>COMM.NI OPER.</t>
  </si>
  <si>
    <t>COMM.NI OPER</t>
  </si>
  <si>
    <t>COMM.OPER. MAESTRO</t>
  </si>
  <si>
    <t>GIROCONTO</t>
  </si>
  <si>
    <t>INTERESSI</t>
  </si>
  <si>
    <t>CANONE POS</t>
  </si>
  <si>
    <t>COMM.NI OPER.MASTER</t>
  </si>
  <si>
    <t>COMM.NI OPER.MAESTRO</t>
  </si>
  <si>
    <t>COMM.NI OPER. VISA</t>
  </si>
  <si>
    <t>COMM.NI PAGOBANCOMAT</t>
  </si>
  <si>
    <t>111^RATA II MUTUO</t>
  </si>
  <si>
    <t>AC.TA.. SRL</t>
  </si>
  <si>
    <t>HOLOGIC ITALIA S.R.L. (EX CYTYC ITALIA S.R.L.)</t>
  </si>
  <si>
    <t>AIESI HOSPITAL SERVICE S.A.S.</t>
  </si>
  <si>
    <t>FORMIGLI  DARIO</t>
  </si>
  <si>
    <t>DE GIULIO  FRANCESCO</t>
  </si>
  <si>
    <t>GN HEARING S.R.L</t>
  </si>
  <si>
    <t>ALFA WASSERMANN S.P.A.</t>
  </si>
  <si>
    <t>AELLE SURGERY S.R.L.</t>
  </si>
  <si>
    <t>F.LLI AQUINO S.R.L.</t>
  </si>
  <si>
    <t>INSIEL MERCATO SPA (EX INSIMARK S.R.L.INCORPORATA)</t>
  </si>
  <si>
    <t>G.I.F.A. DI FIORE SABATINO &amp; C. s.a.s</t>
  </si>
  <si>
    <t>ORREI  RICCARDO</t>
  </si>
  <si>
    <t>BIEFFE5 S.P.A.</t>
  </si>
  <si>
    <t>POSTE ITALIANE SPA  ALT SUD INCASSI PICKUP</t>
  </si>
  <si>
    <t>LEMAITRE VASCULAR S.R.L.</t>
  </si>
  <si>
    <t>TELEPASS S.P.A.</t>
  </si>
  <si>
    <t>CONVATEC ITALIA S.R.L.</t>
  </si>
  <si>
    <t>MAZZEO  ALBERTO</t>
  </si>
  <si>
    <t>NUOVA FARMEC S.R.L.</t>
  </si>
  <si>
    <t>GRAFICHE IUORIO S.N.C.</t>
  </si>
  <si>
    <t>ASREM - ZONA DI CAMPOBASSO</t>
  </si>
  <si>
    <t>BFT COPYPRINT DI GIOVANNI  TETA</t>
  </si>
  <si>
    <t>FUCCI  GIOVANNA</t>
  </si>
  <si>
    <t>QIAGEN S.R.L.</t>
  </si>
  <si>
    <t>NACATUR INTERNATIONAL IMPORT EXPORT S.R.L.</t>
  </si>
  <si>
    <t>COMITEC S.R.L.</t>
  </si>
  <si>
    <t>GUERRI MARIO SAS</t>
  </si>
  <si>
    <t>EISAI S.R.L.</t>
  </si>
  <si>
    <t>MEDTRONIC ITALIA S.P.A.</t>
  </si>
  <si>
    <t>BARCLAYS BANK PLC</t>
  </si>
  <si>
    <t>NOVO NORDISK S.P.A.</t>
  </si>
  <si>
    <t>FUTURO SPA GRUPPO MEDIOBANCA</t>
  </si>
  <si>
    <t>BIO MERIEUX ITALIA S.P.A.</t>
  </si>
  <si>
    <t>UNICREDIT S.P.A.</t>
  </si>
  <si>
    <t>ELETTRONICA BIO MEDICALE S.R.L.</t>
  </si>
  <si>
    <t>SISTEMI IPERBARICI S.R.L. - GRUPPO SAPIO</t>
  </si>
  <si>
    <t>DRAEGER MEDICAL  ITALIA S.P.A.</t>
  </si>
  <si>
    <t>UNICREDIT S.PA. EX FAMILY CREDIT NETWORK S.P.A.</t>
  </si>
  <si>
    <t>MAGLIO  MARIA ANTONIETTA</t>
  </si>
  <si>
    <t>OLYMPUS ITALIA S.R.L.</t>
  </si>
  <si>
    <t>NEO -SURGICAL S.R.L.DEL DOTT. BIAGIO MEROLA &amp; C.</t>
  </si>
  <si>
    <t>MORIELLO  CARMEN</t>
  </si>
  <si>
    <t>ASE S.R.L.</t>
  </si>
  <si>
    <t>DEUTSCHE BANK S.P.A.</t>
  </si>
  <si>
    <t>FUMI  MAURIZIO</t>
  </si>
  <si>
    <t>COLOPLAST S.P.A.</t>
  </si>
  <si>
    <t>MEDI.COM.S.R.L.</t>
  </si>
  <si>
    <t>ALFAMED S.R.L.</t>
  </si>
  <si>
    <t>IN.FORMA.TI. KA. S.R.L.</t>
  </si>
  <si>
    <t>SEPE  ALESSIO</t>
  </si>
  <si>
    <t>COGNETTI  CARMELINA</t>
  </si>
  <si>
    <t>IBL BANCA S.P.A.</t>
  </si>
  <si>
    <t>MOSCATO  BEATRICE</t>
  </si>
  <si>
    <t>DE NIGRO GAETANO FERRAMENTA</t>
  </si>
  <si>
    <t>PERKIN ELMER ITALIA S.P.A.</t>
  </si>
  <si>
    <t>GEMEAZ ELIOR S.P.A. ( EX GEMEAZ CUSIN S.P.A )</t>
  </si>
  <si>
    <t>FUTURA HOSPITAL SAS DI CARANDENTE  CIRO</t>
  </si>
  <si>
    <t>BNL FINANCE S.P.A.</t>
  </si>
  <si>
    <t>X - GAMMAGUARD DI LAURA PINI</t>
  </si>
  <si>
    <t>PIRO  ALESSANDRA</t>
  </si>
  <si>
    <t>ENEL ENERGIA SPA</t>
  </si>
  <si>
    <t>RUSSO  ANTONIO</t>
  </si>
  <si>
    <t>TRAVAGLINO  ANGELA</t>
  </si>
  <si>
    <t>I.N.A. ASSITALIA AGENZIA DI BN</t>
  </si>
  <si>
    <t>CRAL DIPENDENTI SANITA`</t>
  </si>
  <si>
    <t>43500101 - DEBITI V/ASSOCIAZIONI</t>
  </si>
  <si>
    <t>SELC MEDICAL TECHNOLOGY SRL</t>
  </si>
  <si>
    <t>GM. MEDICA S.R.L.</t>
  </si>
  <si>
    <t>MERIDIAN  BIOSCIENCE EUROPE S.R.L.</t>
  </si>
  <si>
    <t>AGENZIA ENTRATE - DIREZ.PROVIN. DI BENEVENTO</t>
  </si>
  <si>
    <t>CONTR.UNIF E MARCA</t>
  </si>
  <si>
    <t>BOLLO VIRTUALE</t>
  </si>
  <si>
    <t>RAVVEDIMENTO OPEROSO</t>
  </si>
  <si>
    <t>LOGIC S.R.L.</t>
  </si>
  <si>
    <t>LANDINO  GIROLAMO</t>
  </si>
  <si>
    <t>D'AURIA DANILO AGENTE GENERALE UNIPOL ASSICURAZ.</t>
  </si>
  <si>
    <t>USB Pubblico Impiego</t>
  </si>
  <si>
    <t>NIKON INSTRUMENTS S.P.A.</t>
  </si>
  <si>
    <t>QUAGLIA  FILOMENA</t>
  </si>
  <si>
    <t>COSMOPOL S.R.L.</t>
  </si>
  <si>
    <t>B@NCA 24-7 S.P.A.</t>
  </si>
  <si>
    <t>GADA ITALIA S.R.L. (EX GAMMA INTERNATIONAL)</t>
  </si>
  <si>
    <t>PICARIELLO  ADOLFO</t>
  </si>
  <si>
    <t>NOVA INFORMATION TECHNOLOGY Scrl</t>
  </si>
  <si>
    <t>AIR LIQUIDE MEDICAL SYSTEMS S.PA.</t>
  </si>
  <si>
    <t>BANCA IFIS S.P.A.</t>
  </si>
  <si>
    <t>FRANCO  DORIS</t>
  </si>
  <si>
    <t>COMECER S.P.A.</t>
  </si>
  <si>
    <t>MF GROUP S.R.L.</t>
  </si>
  <si>
    <t>EQUITALIA SUD SPA - AGENTE RISCOS. PROV. BENEVENTO</t>
  </si>
  <si>
    <t>PANTEC S.R.L.</t>
  </si>
  <si>
    <t>TEMA RICERCA S.R.L.</t>
  </si>
  <si>
    <t>L'ARTE DEL TRASLOCO S.R.L.</t>
  </si>
  <si>
    <t>STEFANINI  FRANCESCO</t>
  </si>
  <si>
    <t>PERROTTA  RAFFAELE</t>
  </si>
  <si>
    <t>PROCACCINI  VINCENZA</t>
  </si>
  <si>
    <t>F.A.D. S.R.L.</t>
  </si>
  <si>
    <t>MEDINAT S.R.L.</t>
  </si>
  <si>
    <t>FERMED S.R.L.</t>
  </si>
  <si>
    <t>CARFORA  ANGELO</t>
  </si>
  <si>
    <t>SERVIZIO ASSISTENZA</t>
  </si>
  <si>
    <t>AUGUSTO MOBILI S.R.L.</t>
  </si>
  <si>
    <t>LA TELEFONICA S.R.L.</t>
  </si>
  <si>
    <t>VIVAI BARRETTA S.R.L.</t>
  </si>
  <si>
    <t>MEDIGAS ITALIA S.R.L.</t>
  </si>
  <si>
    <t>GRUNENTHAL ITALIA S.R.L.</t>
  </si>
  <si>
    <t>IMPRESA FUCCI EDIL RESTAURI S.R.L.</t>
  </si>
  <si>
    <t>CARTOLIBRERIA SMILE di ZOTTI ERASMO</t>
  </si>
  <si>
    <t>B.R.S.CAPPUCCIO S.R.L.</t>
  </si>
  <si>
    <t>TECNOPOST S.P.A.</t>
  </si>
  <si>
    <t>AGFA GEVAERT S.P.A.</t>
  </si>
  <si>
    <t>SHARP ELECTRONICS ITALIA S.P.A.</t>
  </si>
  <si>
    <t>RICCIARDI &amp; C. SRL UNIPERSONALE</t>
  </si>
  <si>
    <t>TONER ITALIA S.R.L.</t>
  </si>
  <si>
    <t>MEDICAL SYSTEMS S.P.A.</t>
  </si>
  <si>
    <t>ENGINEERING INGEGNERIA INFORMATICA S.P.A.</t>
  </si>
  <si>
    <t>INES S.R.L.</t>
  </si>
  <si>
    <t>MOSCARINO S.A.S.</t>
  </si>
  <si>
    <t>LINDE MEDICALE S.R.L.</t>
  </si>
  <si>
    <t>NOVAMED S.R.L.</t>
  </si>
  <si>
    <t>NUTRICIA  ITALIA S.P.A.</t>
  </si>
  <si>
    <t>NOEMALIFE S.P.A.(EX ITALNOEMA)</t>
  </si>
  <si>
    <t>MEDINOVA STRUMENTI ELETTROMED. S.R.L.</t>
  </si>
  <si>
    <t>AUTOSTRADE PER L' ITALIA S.P.A.</t>
  </si>
  <si>
    <t>CODISAN S.P.A.</t>
  </si>
  <si>
    <t>DASIT S.P.A.</t>
  </si>
  <si>
    <t>GE.SE.SA.S.P.A.</t>
  </si>
  <si>
    <t>HOLLISTER S.P.A</t>
  </si>
  <si>
    <t>DATI ASCENSORI S.r.l.</t>
  </si>
  <si>
    <t>ASSICURAZIONI GENERALI S.P.A.</t>
  </si>
  <si>
    <t>A.G.A. BIOMEDICA S.R.L.</t>
  </si>
  <si>
    <t>3 M.C. S.P.A.</t>
  </si>
  <si>
    <t>ENI S.P.A. DIVISIONE GAS ( NAPOLETANAGAS)</t>
  </si>
  <si>
    <t>Ric.Acconto/Anticipo</t>
  </si>
  <si>
    <t>SCOGNAMIGLIO S.R.L.</t>
  </si>
  <si>
    <t>B.BRAUN AVITUM ITALY S.P.A.</t>
  </si>
  <si>
    <t>RIMAFLEX DI MATURO GIOVANNI</t>
  </si>
  <si>
    <t>BIO OPTICA S.P.A.             STRUMENTI</t>
  </si>
  <si>
    <t>INNOVAMEDICA SPA</t>
  </si>
  <si>
    <t>LAVECO S.R.L.</t>
  </si>
  <si>
    <t>TELECOM ITALIA S.P.A.</t>
  </si>
  <si>
    <t>B.C.TRADE  S.R.L.</t>
  </si>
  <si>
    <t>A.S.L. BN</t>
  </si>
  <si>
    <t>DEBITI V/ASL-USL DELLA REGIONE</t>
  </si>
  <si>
    <t>43201201 - DEBITI V/A.S.L. REGIONE</t>
  </si>
  <si>
    <t>JANSSEN-CILAG S.P.A.</t>
  </si>
  <si>
    <t>CHEMIL S.R.L.</t>
  </si>
  <si>
    <t>SERVIER ITALIA S.P.A.</t>
  </si>
  <si>
    <t>TIM - TELECOM ITALIA S.P.A.</t>
  </si>
  <si>
    <t>THERABEL GIENNE PHARMA S.P.A.</t>
  </si>
  <si>
    <t>LA.RA. MEDICA</t>
  </si>
  <si>
    <t>KALTEK S.R.L.</t>
  </si>
  <si>
    <t>BENEFIS S.R.L.</t>
  </si>
  <si>
    <t>TEGEA S.R.L.</t>
  </si>
  <si>
    <t>ESTOR S.P.A.</t>
  </si>
  <si>
    <t>COVIDIEN (INCORPORATA DA MEDTRONIC ITALIA S.P.A.)</t>
  </si>
  <si>
    <t>EUROHOSPITEK S.R.L.</t>
  </si>
  <si>
    <t>AZIENDA OSPEDALIERA "S.G. MOSCATI" (AV)</t>
  </si>
  <si>
    <t>DEBITI V/A.O DELLA REGIONE</t>
  </si>
  <si>
    <t>43201211 - DEBITI V/A.O. REGIONE</t>
  </si>
  <si>
    <t>AS.T.C.C.&amp; C. S.N.C.  COSIMO CIOTTA</t>
  </si>
  <si>
    <t>MEDIVAL - MEDICA VALEGGIA S.P.A.-</t>
  </si>
  <si>
    <t>GESAN S.R.L.</t>
  </si>
  <si>
    <t>B.BRAUN MILANO S.P.A.</t>
  </si>
  <si>
    <t>CERACARTA S.P.A.</t>
  </si>
  <si>
    <t>ELEKTA S.P.A.</t>
  </si>
  <si>
    <t>TELEFLEX MEDICAL S.R.L.  (EX RUSCH S.R.L.)</t>
  </si>
  <si>
    <t>DIASORIN S.P.A.</t>
  </si>
  <si>
    <t>STRYKER ITALIA S.R.L.</t>
  </si>
  <si>
    <t>ROCHE DIAGNOSTICS S.P.A.</t>
  </si>
  <si>
    <t>AGILENT TECHNOLOGIES ITALIA S.P.A.</t>
  </si>
  <si>
    <t>ELECTRONIC CENTER DI PINTO FRANCESCO</t>
  </si>
  <si>
    <t>T.M. MEDICAL DI M. D. CAPUTO</t>
  </si>
  <si>
    <t>MAGGIOLI S.P.A.</t>
  </si>
  <si>
    <t>TEVA ITALIA S.R.L.</t>
  </si>
  <si>
    <t>IFINVEST S.P.A.</t>
  </si>
  <si>
    <t>PRESTITALIA S.P.A.</t>
  </si>
  <si>
    <t>BOSTON SCIENTIFIC S.P.A.</t>
  </si>
  <si>
    <t>DS MEDICA SRL</t>
  </si>
  <si>
    <t>MERCK  S.P.A.</t>
  </si>
  <si>
    <t>BIOFUTURA PHARMA SPA</t>
  </si>
  <si>
    <t>MOLNLYCKE HEALTH CARE SRL</t>
  </si>
  <si>
    <t>STUDIO ASSOCIATO TRUPPI, VALLEFUOCO, PAPA</t>
  </si>
  <si>
    <t>ST. JUDE MEDICAL ITALIA S.P.A.</t>
  </si>
  <si>
    <t>I.N.A.-ASSITALIA -FALCUCCI ASS. DI DUILIO FALCUCCI</t>
  </si>
  <si>
    <t>GE MEDICAL SYSTEMS ITALIA S.P.A.</t>
  </si>
  <si>
    <t>CHIRURMEDICA SRL</t>
  </si>
  <si>
    <t>VODAFONE ITALIA S.P.A.</t>
  </si>
  <si>
    <t>PROMEDICAL SRL</t>
  </si>
  <si>
    <t>DEXTER S.R.L.</t>
  </si>
  <si>
    <t>VWR INTERNATIONAL PBI S.R.L.</t>
  </si>
  <si>
    <t>CONAFI  PRESTITO' S.p.A.</t>
  </si>
  <si>
    <t>SEROM MEDICAL TECHNOLOGY S.R.L.</t>
  </si>
  <si>
    <t>PACIFICO S.R.L. -  LAVANDERIA INDUSTRIALE</t>
  </si>
  <si>
    <t>A.S.P. DI VASTARELLI GAETANO</t>
  </si>
  <si>
    <t>BIORES SRL</t>
  </si>
  <si>
    <t>ELLEGI MEDICAL OPTICS S.R.L.</t>
  </si>
  <si>
    <t>FEBAR S.R.L.</t>
  </si>
  <si>
    <t>A.T.M. SERVICE S.R.L.</t>
  </si>
  <si>
    <t>BIOPSYBELL SRL</t>
  </si>
  <si>
    <t>GEPINFORMATICA S.R.L.</t>
  </si>
  <si>
    <t>OLIVETTI S.P.A.</t>
  </si>
  <si>
    <t>ALIFAX S.R.L.</t>
  </si>
  <si>
    <t>D.I.D. SPA</t>
  </si>
  <si>
    <t>BARD S.R.L.</t>
  </si>
  <si>
    <t>BIOLIFE ITALIANA SRL</t>
  </si>
  <si>
    <t>MICROTECH S.R.L.</t>
  </si>
  <si>
    <t>SECONDA UNIVERSITA' DEGLI STUDI DI NAPOLI (SUN)</t>
  </si>
  <si>
    <t>43500101 - DEBITI V/ALTRI ENTI PUBBLICI</t>
  </si>
  <si>
    <t>CORSO LAUREA PROF.NI</t>
  </si>
  <si>
    <t>AZIENDA OSPEDALIERA DI BOLOGNA</t>
  </si>
  <si>
    <t>DEBITI V/AZIENDE SANIT. PUBBLICHE FUORI REGIONE</t>
  </si>
  <si>
    <t>43201231 - DEBITI V/A.S.L. E A.O. FUORI REGIONE</t>
  </si>
  <si>
    <t>MELLIN S.P.A.</t>
  </si>
  <si>
    <t>HOSPIRA ITALIA SRL</t>
  </si>
  <si>
    <t>HEXACATH ITALIA S.R.L.</t>
  </si>
  <si>
    <t>DYNAMICA RETAIL S.P.A.</t>
  </si>
  <si>
    <t>APULIA PRONTOPRESTITO S.P.A.</t>
  </si>
  <si>
    <t>AVANGATE ITALIA S.R.L.</t>
  </si>
  <si>
    <t>BANCA DI SASSARI S.P.A.</t>
  </si>
  <si>
    <t>RIGA DOMENICO S.A.S.</t>
  </si>
  <si>
    <t>ITALCREDI SPA</t>
  </si>
  <si>
    <t>BEMAR ITALIA S.R.L.</t>
  </si>
  <si>
    <t>FITOCHINA ITALIA SRL</t>
  </si>
  <si>
    <t>PENNINO  TIZIANA</t>
  </si>
  <si>
    <t>SCOLA ALFREDO</t>
  </si>
  <si>
    <t>KYOCERA DOCUMENT SOLUTIONS ITALIA S.P.A.</t>
  </si>
  <si>
    <t>MOLLO  CONCETTA</t>
  </si>
  <si>
    <t>ZURIGO  ANTONELLA</t>
  </si>
  <si>
    <t>Ric.Nota di Credito</t>
  </si>
  <si>
    <t>DI MARO MADDALENA</t>
  </si>
  <si>
    <t>C &amp; T GLOBAL SERVICE SRL</t>
  </si>
  <si>
    <t>H.S. HOSPITAL SERVICE SPA</t>
  </si>
  <si>
    <t>MARZULLO  ERMENEGILDA</t>
  </si>
  <si>
    <t>DELLA VITTORIA SCARPATI  VINCENZO</t>
  </si>
  <si>
    <t>MERCEDES-BENZ FINANCIAL SERVICES ITALIA S.P.A.</t>
  </si>
  <si>
    <t>OREFICE  MADDALENA</t>
  </si>
  <si>
    <t>SALE  SILVIA</t>
  </si>
  <si>
    <t>PANCIONE  YLENIA</t>
  </si>
  <si>
    <t>ICIS S.R.L. - SOCIETA' DI INGEGNERIA</t>
  </si>
  <si>
    <t>BIODIAGRAM S.R.L.</t>
  </si>
  <si>
    <t>ACCEDO S.P.A.</t>
  </si>
  <si>
    <t>GIUDICE  GIORGIO</t>
  </si>
  <si>
    <t>FELEPPA  ROSITA</t>
  </si>
  <si>
    <t>TIRINO  GIUSEPPINA</t>
  </si>
  <si>
    <t>ACQUAVIVA  FABIO</t>
  </si>
  <si>
    <t>TIMOTEO  GIANLUCA</t>
  </si>
  <si>
    <t>CONS. NAZ. GRUPPI DONATORI SANGUE FRATES- CAMPANIA</t>
  </si>
  <si>
    <t>PRINCIPE  VALERIO</t>
  </si>
  <si>
    <t>SIFI MEDTECH S.R.L.</t>
  </si>
  <si>
    <t>GENERALI ITALIA - AG. GEN INA ASSITALIA NAPOLI SUD</t>
  </si>
  <si>
    <t>GATTI  GIAN LUIGI</t>
  </si>
  <si>
    <t>FERRUCCI  ANTONIETTA</t>
  </si>
  <si>
    <t>INSTRUMENTATION LABORATORY SPA</t>
  </si>
  <si>
    <t>A.D.I. AVVOCATURA DI DIRITTO INFERMIERISTICO</t>
  </si>
  <si>
    <t>FONDO PENSIONE PERSEO</t>
  </si>
  <si>
    <t>STIP DIC+TRED 2016</t>
  </si>
  <si>
    <t>IANNICELLI  MARCO</t>
  </si>
  <si>
    <t>PACILLO  MICHELA</t>
  </si>
  <si>
    <t>APPLIED MEDICAL DISTRIB. EUROPE BV- FIL.ITALIANA</t>
  </si>
  <si>
    <t>CAPONE  ASSUNTA</t>
  </si>
  <si>
    <t>GE.SA. S.R.L.</t>
  </si>
  <si>
    <t>RADICELLA  DIANA</t>
  </si>
  <si>
    <t>CROCE ROSSA ITALIANA COMIT.PROV.BENEVENTO(PRIVATA)</t>
  </si>
  <si>
    <t>STENTYS S.A.</t>
  </si>
  <si>
    <t>FR</t>
  </si>
  <si>
    <t>Fattura Ricevuta CEE</t>
  </si>
  <si>
    <t>ORTHO-CLINICAL DIAGNOSTICS ITALY S.R.L.</t>
  </si>
  <si>
    <t>MAZZA  MARIANO</t>
  </si>
  <si>
    <t>ANNUNZIATA  MARIA</t>
  </si>
  <si>
    <t>FINDOMESTIC BANCA S.P.A.</t>
  </si>
  <si>
    <t>CREDITO EMILIANO S.P.A.</t>
  </si>
  <si>
    <t>FINANZIARIA CONTRADA SPA</t>
  </si>
  <si>
    <t>BMC TEC SRL UNIPERSONALE</t>
  </si>
  <si>
    <t>A.D.A. S.R.L.</t>
  </si>
  <si>
    <t>AB MEDICA S.P.A.</t>
  </si>
  <si>
    <t>CESARE MAURI S.R.L.</t>
  </si>
  <si>
    <t>DIPARTIMENTO ASCOTI</t>
  </si>
  <si>
    <t>BGP PRODUCTS S.R.L.</t>
  </si>
  <si>
    <t>BIOTECNICA S.R.L.S.</t>
  </si>
  <si>
    <t>FEDERICO  PIERA</t>
  </si>
  <si>
    <t>RIVOIRA PHARMA S.R.L.</t>
  </si>
  <si>
    <t>ORION PHARMA S.R.L.</t>
  </si>
  <si>
    <t>AMS S.R.L.</t>
  </si>
  <si>
    <t>NUVASIVE ITALIA S.R.L.</t>
  </si>
  <si>
    <t>VIVENDA S.R.L.</t>
  </si>
  <si>
    <t>CHIRURMEDICA INDUSTRIALE E COMMERCIALE S.R.L.</t>
  </si>
  <si>
    <t>ANAC - AUTORITA' NAZIONALE ANTICORRUZIONE</t>
  </si>
  <si>
    <t>CONTRIBUTO</t>
  </si>
  <si>
    <t>SEBAMED SRL</t>
  </si>
  <si>
    <t>CAREFUSION ITALY 311 S.R.L. UNIPERSONALE</t>
  </si>
  <si>
    <t>COSAP - Consorzio Stabile Appalti Pubblici</t>
  </si>
  <si>
    <t>FINCONTINUO S.P.A.</t>
  </si>
  <si>
    <t>PALUMMO  PAOLO</t>
  </si>
  <si>
    <t>SAMO BIOMEDICA S.R.L.</t>
  </si>
  <si>
    <t>TRUSIO  ANTONIO</t>
  </si>
  <si>
    <t>FRATTOLILLO GIUSEPPE</t>
  </si>
  <si>
    <t>VITA RESEARCH S.R.L.</t>
  </si>
  <si>
    <t>DIGITAL GRAPHIC DI MOSCARIELLO M.G.&amp; C.S.A.S.</t>
  </si>
  <si>
    <t>EASY MEDICAL S.R.L.</t>
  </si>
  <si>
    <t>ALFIERI S.P.A.</t>
  </si>
  <si>
    <t>FERINIS ITALIA GROUP SRLS</t>
  </si>
  <si>
    <t>CREMASCOLI &amp; IRIS S.R.L. CON SOCIO UNICO</t>
  </si>
  <si>
    <t>ECOLAB S.R.L.</t>
  </si>
  <si>
    <t>NOVATECH S.R.L.</t>
  </si>
  <si>
    <t>ATOS MEDICAL S.R.L.</t>
  </si>
  <si>
    <t>MAZZA  FABIO</t>
  </si>
  <si>
    <t>TEKNOS S.R.L.</t>
  </si>
  <si>
    <t>MEDI CORP S.R.L.</t>
  </si>
  <si>
    <t>AMICO  VALERIA</t>
  </si>
  <si>
    <t>AUROBINDO PHARMA (ITALIA) S.R.L.</t>
  </si>
  <si>
    <t>ARMOUR RISK MANAGEMENT LTD</t>
  </si>
  <si>
    <t>GB</t>
  </si>
  <si>
    <t>AOG RUMMO BENEVENTO</t>
  </si>
  <si>
    <t>FRENI  FEDERICO</t>
  </si>
  <si>
    <t>PETRONE DOMENICA</t>
  </si>
  <si>
    <t>FE.MA S.R.L.</t>
  </si>
  <si>
    <t>D'AURIA  MARCELLO</t>
  </si>
  <si>
    <t>RANBAXY ITALIA S.P.A.</t>
  </si>
  <si>
    <t>TESTA ANTONIO</t>
  </si>
  <si>
    <t>INTEGRAZIONE</t>
  </si>
  <si>
    <t>S.C.S. SELLING CONSULTING SERVICES S.R.L.</t>
  </si>
  <si>
    <t>BERKSHIRE HATHAWAY INTERNATIONAL INSURANCE LTD</t>
  </si>
  <si>
    <t>POLIZZA RAMO RCT/O</t>
  </si>
  <si>
    <t>AZIENDA SANITARIA LOCALE ROMA 1</t>
  </si>
  <si>
    <t>COMPENSO DOTTORE</t>
  </si>
  <si>
    <t>NARDONE GIUSEPPE</t>
  </si>
  <si>
    <t>IAN CHEM S.R.L.</t>
  </si>
  <si>
    <t>DICUONZO SERGIO</t>
  </si>
  <si>
    <t>RIMBORSO SPESE</t>
  </si>
  <si>
    <t>MINICOZZI SERVICE S.R.L.</t>
  </si>
  <si>
    <t>EQUITALIA SERVIZI DI RISCOSSIONE S.P.A.</t>
  </si>
  <si>
    <t>BUFIS  MAURO</t>
  </si>
  <si>
    <t>CONDOMINIO VIALE MELLUSI 58/60 BENEVENTO</t>
  </si>
  <si>
    <t>DE GENNARO  ANGELA</t>
  </si>
  <si>
    <t>LIQUIDAZIONE LITE</t>
  </si>
  <si>
    <t>UNIPOLSAI ASSICURAZIONI S.P.A.</t>
  </si>
  <si>
    <t>POLIZZA RAMO RCA</t>
  </si>
  <si>
    <t>CARUSO  CARLO</t>
  </si>
  <si>
    <t>STEFANUCCI MARIA ROSARIA</t>
  </si>
  <si>
    <t>NICASTRO TIZIANA</t>
  </si>
  <si>
    <t>ADIRAMEF S.R.L.</t>
  </si>
  <si>
    <t>CIMMINO CATERINA</t>
  </si>
  <si>
    <t>SX 22/2015</t>
  </si>
  <si>
    <t>IAMMARINO MARIA</t>
  </si>
  <si>
    <t>SX 65/2015</t>
  </si>
  <si>
    <t>DURANTE GIOVANNA</t>
  </si>
  <si>
    <t>SX 06/2015</t>
  </si>
  <si>
    <t>UNIRI SAMANTHA</t>
  </si>
  <si>
    <t>SX 16/2015</t>
  </si>
  <si>
    <t>ORFEO LUIGI</t>
  </si>
  <si>
    <t>ISABEL SPV S.R.L.</t>
  </si>
  <si>
    <t>SO.RE.SA</t>
  </si>
  <si>
    <t>04786681215</t>
  </si>
  <si>
    <t>DEBITI VERSO ALTRI SORESA</t>
  </si>
  <si>
    <t>ITP I TRIMESTRE</t>
  </si>
  <si>
    <t xml:space="preserve"> 2017          GG</t>
  </si>
  <si>
    <t>INDICATORE DI TEMPESTIVITA' DEI PAGAMENTI I TRIMESTRE 2017  GG. 73,28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</si>
</sst>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4" fontId="0" fillId="0" borderId="0" xfId="0" applyNumberFormat="1"/>
    <xf numFmtId="14" fontId="0" fillId="0" borderId="0" xfId="0" applyNumberFormat="1"/>
    <xf numFmtId="0" fontId="16" fillId="0" borderId="0" xfId="0" applyFont="1"/>
    <xf numFmtId="14" fontId="16" fillId="0" borderId="0" xfId="0" applyNumberFormat="1" applyFont="1"/>
    <xf numFmtId="4" fontId="16" fillId="0" borderId="0" xfId="0" applyNumberFormat="1" applyFont="1"/>
    <xf numFmtId="49" fontId="0" fillId="0" borderId="0" xfId="0" applyNumberForma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3:BN2498"/>
  <sheetViews>
    <sheetView tabSelected="1" workbookViewId="0">
      <selection activeCell="G8" sqref="G1:G1048576"/>
    </sheetView>
  </sheetViews>
  <sheetFormatPr defaultRowHeight="15"/>
  <cols>
    <col min="2" max="2" width="14.42578125" customWidth="1"/>
    <col min="3" max="3" width="17.140625" customWidth="1"/>
    <col min="7" max="7" width="0" hidden="1" customWidth="1"/>
    <col min="8" max="8" width="18" customWidth="1"/>
    <col min="9" max="9" width="17.42578125" customWidth="1"/>
    <col min="10" max="12" width="0" hidden="1" customWidth="1"/>
    <col min="16" max="16" width="16.85546875" customWidth="1"/>
    <col min="18" max="18" width="12.5703125" style="3" customWidth="1"/>
    <col min="19" max="19" width="13.85546875" customWidth="1"/>
    <col min="20" max="20" width="14.140625" customWidth="1"/>
    <col min="21" max="21" width="13.85546875" style="3" customWidth="1"/>
    <col min="26" max="26" width="20.140625" style="3" customWidth="1"/>
    <col min="27" max="27" width="13.42578125" style="3" customWidth="1"/>
    <col min="28" max="28" width="17.7109375" style="3" customWidth="1"/>
    <col min="29" max="29" width="15.42578125" customWidth="1"/>
    <col min="31" max="31" width="14.140625" customWidth="1"/>
    <col min="42" max="42" width="11" customWidth="1"/>
    <col min="43" max="44" width="0" hidden="1" customWidth="1"/>
    <col min="46" max="46" width="24.42578125" style="3" customWidth="1"/>
    <col min="49" max="49" width="20.85546875" style="3" customWidth="1"/>
  </cols>
  <sheetData>
    <row r="3" spans="1:66">
      <c r="R3" s="10" t="s">
        <v>568</v>
      </c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66"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66"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66"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66"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66"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66"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66">
      <c r="A10" t="s">
        <v>0</v>
      </c>
    </row>
    <row r="11" spans="1:66">
      <c r="A11" t="s">
        <v>1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  <c r="H11" t="s">
        <v>8</v>
      </c>
      <c r="I11" t="s">
        <v>9</v>
      </c>
      <c r="J11" t="s">
        <v>10</v>
      </c>
      <c r="K11" t="s">
        <v>11</v>
      </c>
      <c r="L11" t="s">
        <v>12</v>
      </c>
      <c r="M11" t="s">
        <v>13</v>
      </c>
      <c r="N11" t="s">
        <v>14</v>
      </c>
      <c r="O11" t="s">
        <v>15</v>
      </c>
      <c r="P11" t="s">
        <v>16</v>
      </c>
      <c r="Q11" t="s">
        <v>17</v>
      </c>
      <c r="R11" s="3" t="s">
        <v>18</v>
      </c>
      <c r="S11" t="s">
        <v>19</v>
      </c>
      <c r="T11" t="s">
        <v>20</v>
      </c>
      <c r="U11" s="3" t="s">
        <v>21</v>
      </c>
      <c r="V11" t="s">
        <v>22</v>
      </c>
      <c r="W11" t="s">
        <v>23</v>
      </c>
      <c r="X11" t="s">
        <v>24</v>
      </c>
      <c r="Y11" t="s">
        <v>25</v>
      </c>
      <c r="Z11" s="3" t="s">
        <v>26</v>
      </c>
      <c r="AA11" s="3" t="s">
        <v>27</v>
      </c>
      <c r="AB11" s="3" t="s">
        <v>28</v>
      </c>
      <c r="AC11" t="s">
        <v>29</v>
      </c>
      <c r="AD11" t="s">
        <v>30</v>
      </c>
      <c r="AE11" t="s">
        <v>31</v>
      </c>
      <c r="AF11" t="s">
        <v>32</v>
      </c>
      <c r="AG11" t="s">
        <v>33</v>
      </c>
      <c r="AH11" t="s">
        <v>34</v>
      </c>
      <c r="AI11" t="s">
        <v>35</v>
      </c>
      <c r="AJ11" t="s">
        <v>36</v>
      </c>
      <c r="AK11" t="s">
        <v>37</v>
      </c>
      <c r="AL11" t="s">
        <v>38</v>
      </c>
      <c r="AM11" t="s">
        <v>39</v>
      </c>
      <c r="AN11" t="s">
        <v>40</v>
      </c>
      <c r="AO11" t="s">
        <v>41</v>
      </c>
      <c r="AP11" t="s">
        <v>42</v>
      </c>
      <c r="AQ11" t="s">
        <v>43</v>
      </c>
      <c r="AR11" t="s">
        <v>44</v>
      </c>
      <c r="AS11" t="s">
        <v>45</v>
      </c>
      <c r="AT11" s="3" t="s">
        <v>46</v>
      </c>
      <c r="AU11" t="s">
        <v>47</v>
      </c>
      <c r="AV11" t="s">
        <v>48</v>
      </c>
      <c r="AW11" s="3" t="s">
        <v>49</v>
      </c>
      <c r="AX11" t="s">
        <v>50</v>
      </c>
      <c r="AY11" t="s">
        <v>51</v>
      </c>
      <c r="AZ11" t="s">
        <v>52</v>
      </c>
      <c r="BA11" t="s">
        <v>53</v>
      </c>
      <c r="BB11" t="s">
        <v>54</v>
      </c>
      <c r="BC11" t="s">
        <v>55</v>
      </c>
      <c r="BD11" t="s">
        <v>56</v>
      </c>
      <c r="BE11" t="s">
        <v>57</v>
      </c>
      <c r="BF11" t="s">
        <v>58</v>
      </c>
      <c r="BG11" t="s">
        <v>59</v>
      </c>
      <c r="BH11" t="s">
        <v>60</v>
      </c>
      <c r="BI11" t="s">
        <v>61</v>
      </c>
      <c r="BJ11" t="s">
        <v>62</v>
      </c>
      <c r="BK11" t="s">
        <v>63</v>
      </c>
      <c r="BL11" t="s">
        <v>64</v>
      </c>
      <c r="BM11" t="s">
        <v>65</v>
      </c>
      <c r="BN11" t="s">
        <v>13</v>
      </c>
    </row>
    <row r="12" spans="1:66">
      <c r="A12">
        <v>100001</v>
      </c>
      <c r="B12" t="s">
        <v>66</v>
      </c>
      <c r="C12" s="1">
        <v>43300101</v>
      </c>
      <c r="D12" t="s">
        <v>67</v>
      </c>
      <c r="H12" t="str">
        <f t="shared" ref="H12:I16" si="0">"00076670595"</f>
        <v>00076670595</v>
      </c>
      <c r="I12" t="str">
        <f t="shared" si="0"/>
        <v>00076670595</v>
      </c>
      <c r="K12" t="str">
        <f>""</f>
        <v/>
      </c>
      <c r="M12" t="s">
        <v>68</v>
      </c>
      <c r="N12" t="str">
        <f t="shared" ref="N12:N43" si="1">"FOR"</f>
        <v>FOR</v>
      </c>
      <c r="O12" t="s">
        <v>69</v>
      </c>
      <c r="P12" t="s">
        <v>70</v>
      </c>
      <c r="Q12">
        <v>2015</v>
      </c>
      <c r="R12" s="4">
        <v>42304</v>
      </c>
      <c r="S12" s="2">
        <v>42705</v>
      </c>
      <c r="T12" s="2">
        <v>42705</v>
      </c>
      <c r="U12" s="4">
        <v>42765</v>
      </c>
      <c r="V12" t="s">
        <v>71</v>
      </c>
      <c r="W12" t="str">
        <f>"          S15F030318"</f>
        <v xml:space="preserve">          S15F030318</v>
      </c>
      <c r="X12" s="1">
        <v>3465</v>
      </c>
      <c r="Y12">
        <v>0</v>
      </c>
      <c r="Z12" s="5">
        <v>3150</v>
      </c>
      <c r="AA12" s="3">
        <v>9</v>
      </c>
      <c r="AB12" s="5">
        <v>28350</v>
      </c>
      <c r="AC12" s="1">
        <v>3150</v>
      </c>
      <c r="AD12">
        <v>9</v>
      </c>
      <c r="AE12" s="1">
        <v>28350</v>
      </c>
      <c r="AF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 s="2">
        <v>42831</v>
      </c>
      <c r="AQ12" t="s">
        <v>72</v>
      </c>
      <c r="AR12" t="s">
        <v>72</v>
      </c>
      <c r="AS12">
        <v>347</v>
      </c>
      <c r="AT12" s="4">
        <v>42774</v>
      </c>
      <c r="AU12" t="s">
        <v>73</v>
      </c>
      <c r="AV12">
        <v>347</v>
      </c>
      <c r="AW12" s="4">
        <v>42774</v>
      </c>
      <c r="BD12">
        <v>0</v>
      </c>
      <c r="BN12" t="s">
        <v>74</v>
      </c>
    </row>
    <row r="13" spans="1:66">
      <c r="A13">
        <v>100001</v>
      </c>
      <c r="B13" t="s">
        <v>66</v>
      </c>
      <c r="C13" s="1">
        <v>43300101</v>
      </c>
      <c r="D13" t="s">
        <v>67</v>
      </c>
      <c r="H13" t="str">
        <f t="shared" si="0"/>
        <v>00076670595</v>
      </c>
      <c r="I13" t="str">
        <f t="shared" si="0"/>
        <v>00076670595</v>
      </c>
      <c r="K13" t="str">
        <f>""</f>
        <v/>
      </c>
      <c r="M13" t="s">
        <v>68</v>
      </c>
      <c r="N13" t="str">
        <f t="shared" si="1"/>
        <v>FOR</v>
      </c>
      <c r="O13" t="s">
        <v>69</v>
      </c>
      <c r="P13" t="s">
        <v>75</v>
      </c>
      <c r="Q13">
        <v>2016</v>
      </c>
      <c r="R13" s="4">
        <v>42437</v>
      </c>
      <c r="S13" s="2">
        <v>42443</v>
      </c>
      <c r="T13" s="2">
        <v>42440</v>
      </c>
      <c r="U13" s="4">
        <v>42500</v>
      </c>
      <c r="V13" t="s">
        <v>71</v>
      </c>
      <c r="W13" t="str">
        <f>"          S16F006368"</f>
        <v xml:space="preserve">          S16F006368</v>
      </c>
      <c r="X13" s="1">
        <v>3465</v>
      </c>
      <c r="Y13">
        <v>0</v>
      </c>
      <c r="Z13" s="5">
        <v>3150</v>
      </c>
      <c r="AA13" s="3">
        <v>274</v>
      </c>
      <c r="AB13" s="5">
        <v>863100</v>
      </c>
      <c r="AC13" s="1">
        <v>3150</v>
      </c>
      <c r="AD13">
        <v>274</v>
      </c>
      <c r="AE13" s="1">
        <v>863100</v>
      </c>
      <c r="AF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 s="2">
        <v>42831</v>
      </c>
      <c r="AQ13" t="s">
        <v>72</v>
      </c>
      <c r="AR13" t="s">
        <v>72</v>
      </c>
      <c r="AS13">
        <v>347</v>
      </c>
      <c r="AT13" s="4">
        <v>42774</v>
      </c>
      <c r="AU13" t="s">
        <v>73</v>
      </c>
      <c r="AV13">
        <v>347</v>
      </c>
      <c r="AW13" s="4">
        <v>42774</v>
      </c>
      <c r="BD13">
        <v>0</v>
      </c>
      <c r="BN13" t="s">
        <v>74</v>
      </c>
    </row>
    <row r="14" spans="1:66">
      <c r="A14">
        <v>100001</v>
      </c>
      <c r="B14" t="s">
        <v>66</v>
      </c>
      <c r="C14" s="1">
        <v>43300101</v>
      </c>
      <c r="D14" t="s">
        <v>67</v>
      </c>
      <c r="H14" t="str">
        <f t="shared" si="0"/>
        <v>00076670595</v>
      </c>
      <c r="I14" t="str">
        <f t="shared" si="0"/>
        <v>00076670595</v>
      </c>
      <c r="K14" t="str">
        <f>""</f>
        <v/>
      </c>
      <c r="M14" t="s">
        <v>68</v>
      </c>
      <c r="N14" t="str">
        <f t="shared" si="1"/>
        <v>FOR</v>
      </c>
      <c r="O14" t="s">
        <v>69</v>
      </c>
      <c r="P14" t="s">
        <v>75</v>
      </c>
      <c r="Q14">
        <v>2016</v>
      </c>
      <c r="R14" s="4">
        <v>42450</v>
      </c>
      <c r="S14" s="2">
        <v>42459</v>
      </c>
      <c r="T14" s="2">
        <v>42459</v>
      </c>
      <c r="U14" s="4">
        <v>42519</v>
      </c>
      <c r="V14" t="s">
        <v>71</v>
      </c>
      <c r="W14" t="str">
        <f>"          S16F007517"</f>
        <v xml:space="preserve">          S16F007517</v>
      </c>
      <c r="X14" s="1">
        <v>22245.91</v>
      </c>
      <c r="Y14">
        <v>0</v>
      </c>
      <c r="Z14" s="5">
        <v>18234.349999999999</v>
      </c>
      <c r="AA14" s="3">
        <v>255</v>
      </c>
      <c r="AB14" s="5">
        <v>4649759.25</v>
      </c>
      <c r="AC14" s="1">
        <v>18234.349999999999</v>
      </c>
      <c r="AD14">
        <v>255</v>
      </c>
      <c r="AE14" s="1">
        <v>4649759.25</v>
      </c>
      <c r="AF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 s="2">
        <v>42831</v>
      </c>
      <c r="AQ14" t="s">
        <v>72</v>
      </c>
      <c r="AR14" t="s">
        <v>72</v>
      </c>
      <c r="AS14">
        <v>347</v>
      </c>
      <c r="AT14" s="4">
        <v>42774</v>
      </c>
      <c r="AU14" t="s">
        <v>73</v>
      </c>
      <c r="AV14">
        <v>347</v>
      </c>
      <c r="AW14" s="4">
        <v>42774</v>
      </c>
      <c r="BD14">
        <v>0</v>
      </c>
      <c r="BN14" t="s">
        <v>74</v>
      </c>
    </row>
    <row r="15" spans="1:66">
      <c r="A15">
        <v>100001</v>
      </c>
      <c r="B15" t="s">
        <v>66</v>
      </c>
      <c r="C15" s="1">
        <v>43300101</v>
      </c>
      <c r="D15" t="s">
        <v>67</v>
      </c>
      <c r="H15" t="str">
        <f t="shared" si="0"/>
        <v>00076670595</v>
      </c>
      <c r="I15" t="str">
        <f t="shared" si="0"/>
        <v>00076670595</v>
      </c>
      <c r="K15" t="str">
        <f>""</f>
        <v/>
      </c>
      <c r="M15" t="s">
        <v>68</v>
      </c>
      <c r="N15" t="str">
        <f t="shared" si="1"/>
        <v>FOR</v>
      </c>
      <c r="O15" t="s">
        <v>69</v>
      </c>
      <c r="P15" t="s">
        <v>75</v>
      </c>
      <c r="Q15">
        <v>2016</v>
      </c>
      <c r="R15" s="4">
        <v>42460</v>
      </c>
      <c r="S15" s="2">
        <v>42472</v>
      </c>
      <c r="T15" s="2">
        <v>42464</v>
      </c>
      <c r="U15" s="4">
        <v>42524</v>
      </c>
      <c r="V15" t="s">
        <v>71</v>
      </c>
      <c r="W15" t="str">
        <f>"          S16F009074"</f>
        <v xml:space="preserve">          S16F009074</v>
      </c>
      <c r="X15" s="1">
        <v>3465</v>
      </c>
      <c r="Y15">
        <v>0</v>
      </c>
      <c r="Z15" s="5">
        <v>3150</v>
      </c>
      <c r="AA15" s="3">
        <v>250</v>
      </c>
      <c r="AB15" s="5">
        <v>787500</v>
      </c>
      <c r="AC15" s="1">
        <v>3150</v>
      </c>
      <c r="AD15">
        <v>250</v>
      </c>
      <c r="AE15" s="1">
        <v>787500</v>
      </c>
      <c r="AF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 s="2">
        <v>42831</v>
      </c>
      <c r="AQ15" t="s">
        <v>72</v>
      </c>
      <c r="AR15" t="s">
        <v>72</v>
      </c>
      <c r="AS15">
        <v>347</v>
      </c>
      <c r="AT15" s="4">
        <v>42774</v>
      </c>
      <c r="AU15" t="s">
        <v>73</v>
      </c>
      <c r="AV15">
        <v>347</v>
      </c>
      <c r="AW15" s="4">
        <v>42774</v>
      </c>
      <c r="BD15">
        <v>0</v>
      </c>
      <c r="BN15" t="s">
        <v>74</v>
      </c>
    </row>
    <row r="16" spans="1:66">
      <c r="A16">
        <v>100001</v>
      </c>
      <c r="B16" t="s">
        <v>66</v>
      </c>
      <c r="C16" s="1">
        <v>43300101</v>
      </c>
      <c r="D16" t="s">
        <v>67</v>
      </c>
      <c r="H16" t="str">
        <f t="shared" si="0"/>
        <v>00076670595</v>
      </c>
      <c r="I16" t="str">
        <f t="shared" si="0"/>
        <v>00076670595</v>
      </c>
      <c r="K16" t="str">
        <f>""</f>
        <v/>
      </c>
      <c r="M16" t="s">
        <v>68</v>
      </c>
      <c r="N16" t="str">
        <f t="shared" si="1"/>
        <v>FOR</v>
      </c>
      <c r="O16" t="s">
        <v>69</v>
      </c>
      <c r="P16" t="s">
        <v>75</v>
      </c>
      <c r="Q16">
        <v>2016</v>
      </c>
      <c r="R16" s="4">
        <v>42465</v>
      </c>
      <c r="S16" s="2">
        <v>42473</v>
      </c>
      <c r="T16" s="2">
        <v>42466</v>
      </c>
      <c r="U16" s="4">
        <v>42526</v>
      </c>
      <c r="V16" t="s">
        <v>71</v>
      </c>
      <c r="W16" t="str">
        <f>"          S16F009306"</f>
        <v xml:space="preserve">          S16F009306</v>
      </c>
      <c r="X16" s="1">
        <v>3294</v>
      </c>
      <c r="Y16">
        <v>0</v>
      </c>
      <c r="Z16" s="5">
        <v>2700</v>
      </c>
      <c r="AA16" s="3">
        <v>255</v>
      </c>
      <c r="AB16" s="5">
        <v>688500</v>
      </c>
      <c r="AC16" s="1">
        <v>2700</v>
      </c>
      <c r="AD16">
        <v>255</v>
      </c>
      <c r="AE16" s="1">
        <v>688500</v>
      </c>
      <c r="AF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 s="2">
        <v>42831</v>
      </c>
      <c r="AQ16" t="s">
        <v>72</v>
      </c>
      <c r="AR16" t="s">
        <v>72</v>
      </c>
      <c r="AS16">
        <v>449</v>
      </c>
      <c r="AT16" s="4">
        <v>42781</v>
      </c>
      <c r="AU16" t="s">
        <v>73</v>
      </c>
      <c r="AV16">
        <v>449</v>
      </c>
      <c r="AW16" s="4">
        <v>42781</v>
      </c>
      <c r="BD16">
        <v>0</v>
      </c>
      <c r="BN16" t="s">
        <v>74</v>
      </c>
    </row>
    <row r="17" spans="1:66">
      <c r="A17">
        <v>100002</v>
      </c>
      <c r="B17" t="s">
        <v>76</v>
      </c>
      <c r="C17" s="1">
        <v>43300101</v>
      </c>
      <c r="D17" t="s">
        <v>67</v>
      </c>
      <c r="H17" t="str">
        <f>"07677821212"</f>
        <v>07677821212</v>
      </c>
      <c r="I17" t="str">
        <f>"07677821212"</f>
        <v>07677821212</v>
      </c>
      <c r="K17" t="str">
        <f>""</f>
        <v/>
      </c>
      <c r="M17" t="s">
        <v>68</v>
      </c>
      <c r="N17" t="str">
        <f t="shared" si="1"/>
        <v>FOR</v>
      </c>
      <c r="O17" t="s">
        <v>69</v>
      </c>
      <c r="P17" t="s">
        <v>75</v>
      </c>
      <c r="Q17">
        <v>2016</v>
      </c>
      <c r="R17" s="4">
        <v>42678</v>
      </c>
      <c r="S17" s="2">
        <v>42682</v>
      </c>
      <c r="T17" s="2">
        <v>42681</v>
      </c>
      <c r="U17" s="4">
        <v>42741</v>
      </c>
      <c r="V17" t="s">
        <v>71</v>
      </c>
      <c r="W17" t="str">
        <f>"             2406/FE"</f>
        <v xml:space="preserve">             2406/FE</v>
      </c>
      <c r="X17">
        <v>249.6</v>
      </c>
      <c r="Y17">
        <v>0</v>
      </c>
      <c r="Z17" s="5">
        <v>240</v>
      </c>
      <c r="AA17" s="3">
        <v>27</v>
      </c>
      <c r="AB17" s="5">
        <v>6480</v>
      </c>
      <c r="AC17">
        <v>240</v>
      </c>
      <c r="AD17">
        <v>27</v>
      </c>
      <c r="AE17" s="1">
        <v>6480</v>
      </c>
      <c r="AF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 s="2">
        <v>42831</v>
      </c>
      <c r="AQ17" t="s">
        <v>72</v>
      </c>
      <c r="AR17" t="s">
        <v>72</v>
      </c>
      <c r="AS17">
        <v>265</v>
      </c>
      <c r="AT17" s="4">
        <v>42768</v>
      </c>
      <c r="AU17" t="s">
        <v>73</v>
      </c>
      <c r="AV17">
        <v>265</v>
      </c>
      <c r="AW17" s="4">
        <v>42768</v>
      </c>
      <c r="BD17">
        <v>0</v>
      </c>
      <c r="BN17" t="s">
        <v>74</v>
      </c>
    </row>
    <row r="18" spans="1:66">
      <c r="A18">
        <v>100012</v>
      </c>
      <c r="B18" t="s">
        <v>77</v>
      </c>
      <c r="C18" s="1">
        <v>43300101</v>
      </c>
      <c r="D18" t="s">
        <v>67</v>
      </c>
      <c r="H18" t="str">
        <f>"08526440154"</f>
        <v>08526440154</v>
      </c>
      <c r="I18" t="str">
        <f>"08526440154"</f>
        <v>08526440154</v>
      </c>
      <c r="K18" t="str">
        <f>""</f>
        <v/>
      </c>
      <c r="M18" t="s">
        <v>68</v>
      </c>
      <c r="N18" t="str">
        <f t="shared" si="1"/>
        <v>FOR</v>
      </c>
      <c r="O18" t="s">
        <v>69</v>
      </c>
      <c r="P18" t="s">
        <v>75</v>
      </c>
      <c r="Q18">
        <v>2017</v>
      </c>
      <c r="R18" s="4">
        <v>42767</v>
      </c>
      <c r="S18" s="2">
        <v>42782</v>
      </c>
      <c r="T18" s="2">
        <v>42773</v>
      </c>
      <c r="U18" s="4">
        <v>42833</v>
      </c>
      <c r="V18" t="s">
        <v>71</v>
      </c>
      <c r="W18" t="str">
        <f>"          5750378703"</f>
        <v xml:space="preserve">          5750378703</v>
      </c>
      <c r="X18" s="1">
        <v>4518.76</v>
      </c>
      <c r="Y18">
        <v>-814.86</v>
      </c>
      <c r="Z18" s="5">
        <v>3703.9</v>
      </c>
      <c r="AA18" s="3">
        <v>-15</v>
      </c>
      <c r="AB18" s="5">
        <v>-55558.5</v>
      </c>
      <c r="AC18" s="1">
        <v>3703.9</v>
      </c>
      <c r="AD18">
        <v>-15</v>
      </c>
      <c r="AE18" s="1">
        <v>-55558.5</v>
      </c>
      <c r="AF18">
        <v>0</v>
      </c>
      <c r="AJ18">
        <v>-814.86</v>
      </c>
      <c r="AK18" s="1">
        <v>3703.9</v>
      </c>
      <c r="AL18" s="1">
        <v>3703.9</v>
      </c>
      <c r="AM18">
        <v>-814.86</v>
      </c>
      <c r="AN18" s="1">
        <v>3703.9</v>
      </c>
      <c r="AO18" s="1">
        <v>3703.9</v>
      </c>
      <c r="AP18" s="2">
        <v>42831</v>
      </c>
      <c r="AQ18" t="s">
        <v>72</v>
      </c>
      <c r="AR18" t="s">
        <v>72</v>
      </c>
      <c r="AS18">
        <v>896</v>
      </c>
      <c r="AT18" s="4">
        <v>42818</v>
      </c>
      <c r="AV18">
        <v>896</v>
      </c>
      <c r="AW18" s="4">
        <v>42818</v>
      </c>
      <c r="BD18">
        <v>0</v>
      </c>
      <c r="BN18" t="s">
        <v>74</v>
      </c>
    </row>
    <row r="19" spans="1:66">
      <c r="A19">
        <v>100032</v>
      </c>
      <c r="B19" t="s">
        <v>78</v>
      </c>
      <c r="C19" s="1">
        <v>43300101</v>
      </c>
      <c r="D19" t="s">
        <v>67</v>
      </c>
      <c r="H19" t="str">
        <f t="shared" ref="H19:I27" si="2">"01316780426"</f>
        <v>01316780426</v>
      </c>
      <c r="I19" t="str">
        <f t="shared" si="2"/>
        <v>01316780426</v>
      </c>
      <c r="K19" t="str">
        <f>""</f>
        <v/>
      </c>
      <c r="M19" t="s">
        <v>68</v>
      </c>
      <c r="N19" t="str">
        <f t="shared" si="1"/>
        <v>FOR</v>
      </c>
      <c r="O19" t="s">
        <v>69</v>
      </c>
      <c r="P19" t="s">
        <v>75</v>
      </c>
      <c r="Q19">
        <v>2016</v>
      </c>
      <c r="R19" s="4">
        <v>42440</v>
      </c>
      <c r="S19" s="2">
        <v>42501</v>
      </c>
      <c r="T19" s="2">
        <v>42499</v>
      </c>
      <c r="U19" s="4">
        <v>42559</v>
      </c>
      <c r="V19" t="s">
        <v>71</v>
      </c>
      <c r="W19" t="str">
        <f>"             3246/02"</f>
        <v xml:space="preserve">             3246/02</v>
      </c>
      <c r="X19">
        <v>772.21</v>
      </c>
      <c r="Y19">
        <v>0</v>
      </c>
      <c r="Z19" s="5">
        <v>632.96</v>
      </c>
      <c r="AA19" s="3">
        <v>207</v>
      </c>
      <c r="AB19" s="5">
        <v>131022.72</v>
      </c>
      <c r="AC19">
        <v>632.96</v>
      </c>
      <c r="AD19">
        <v>207</v>
      </c>
      <c r="AE19" s="1">
        <v>131022.72</v>
      </c>
      <c r="AF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 s="2">
        <v>42831</v>
      </c>
      <c r="AQ19" t="s">
        <v>72</v>
      </c>
      <c r="AR19" t="s">
        <v>72</v>
      </c>
      <c r="AS19">
        <v>186</v>
      </c>
      <c r="AT19" s="4">
        <v>42766</v>
      </c>
      <c r="AU19" t="s">
        <v>73</v>
      </c>
      <c r="AV19">
        <v>186</v>
      </c>
      <c r="AW19" s="4">
        <v>42766</v>
      </c>
      <c r="BD19">
        <v>0</v>
      </c>
      <c r="BN19" t="s">
        <v>74</v>
      </c>
    </row>
    <row r="20" spans="1:66">
      <c r="A20">
        <v>100032</v>
      </c>
      <c r="B20" t="s">
        <v>78</v>
      </c>
      <c r="C20" s="1">
        <v>43300101</v>
      </c>
      <c r="D20" t="s">
        <v>67</v>
      </c>
      <c r="H20" t="str">
        <f t="shared" si="2"/>
        <v>01316780426</v>
      </c>
      <c r="I20" t="str">
        <f t="shared" si="2"/>
        <v>01316780426</v>
      </c>
      <c r="K20" t="str">
        <f>""</f>
        <v/>
      </c>
      <c r="M20" t="s">
        <v>68</v>
      </c>
      <c r="N20" t="str">
        <f t="shared" si="1"/>
        <v>FOR</v>
      </c>
      <c r="O20" t="s">
        <v>69</v>
      </c>
      <c r="P20" t="s">
        <v>75</v>
      </c>
      <c r="Q20">
        <v>2016</v>
      </c>
      <c r="R20" s="4">
        <v>42458</v>
      </c>
      <c r="S20" s="2">
        <v>42501</v>
      </c>
      <c r="T20" s="2">
        <v>42499</v>
      </c>
      <c r="U20" s="4">
        <v>42559</v>
      </c>
      <c r="V20" t="s">
        <v>71</v>
      </c>
      <c r="W20" t="str">
        <f>"             4022/02"</f>
        <v xml:space="preserve">             4022/02</v>
      </c>
      <c r="X20" s="1">
        <v>1024.8</v>
      </c>
      <c r="Y20">
        <v>0</v>
      </c>
      <c r="Z20" s="5">
        <v>840</v>
      </c>
      <c r="AA20" s="3">
        <v>207</v>
      </c>
      <c r="AB20" s="5">
        <v>173880</v>
      </c>
      <c r="AC20">
        <v>840</v>
      </c>
      <c r="AD20">
        <v>207</v>
      </c>
      <c r="AE20" s="1">
        <v>173880</v>
      </c>
      <c r="AF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 s="2">
        <v>42831</v>
      </c>
      <c r="AQ20" t="s">
        <v>72</v>
      </c>
      <c r="AR20" t="s">
        <v>72</v>
      </c>
      <c r="AS20">
        <v>186</v>
      </c>
      <c r="AT20" s="4">
        <v>42766</v>
      </c>
      <c r="AU20" t="s">
        <v>73</v>
      </c>
      <c r="AV20">
        <v>186</v>
      </c>
      <c r="AW20" s="4">
        <v>42766</v>
      </c>
      <c r="BD20">
        <v>0</v>
      </c>
      <c r="BN20" t="s">
        <v>74</v>
      </c>
    </row>
    <row r="21" spans="1:66">
      <c r="A21">
        <v>100032</v>
      </c>
      <c r="B21" t="s">
        <v>78</v>
      </c>
      <c r="C21" s="1">
        <v>43300101</v>
      </c>
      <c r="D21" t="s">
        <v>67</v>
      </c>
      <c r="H21" t="str">
        <f t="shared" si="2"/>
        <v>01316780426</v>
      </c>
      <c r="I21" t="str">
        <f t="shared" si="2"/>
        <v>01316780426</v>
      </c>
      <c r="K21" t="str">
        <f>""</f>
        <v/>
      </c>
      <c r="M21" t="s">
        <v>68</v>
      </c>
      <c r="N21" t="str">
        <f t="shared" si="1"/>
        <v>FOR</v>
      </c>
      <c r="O21" t="s">
        <v>69</v>
      </c>
      <c r="P21" t="s">
        <v>75</v>
      </c>
      <c r="Q21">
        <v>2016</v>
      </c>
      <c r="R21" s="4">
        <v>42458</v>
      </c>
      <c r="S21" s="2">
        <v>42501</v>
      </c>
      <c r="T21" s="2">
        <v>42499</v>
      </c>
      <c r="U21" s="4">
        <v>42559</v>
      </c>
      <c r="V21" t="s">
        <v>71</v>
      </c>
      <c r="W21" t="str">
        <f>"             4023/02"</f>
        <v xml:space="preserve">             4023/02</v>
      </c>
      <c r="X21" s="1">
        <v>1616.5</v>
      </c>
      <c r="Y21">
        <v>0</v>
      </c>
      <c r="Z21" s="5">
        <v>1325</v>
      </c>
      <c r="AA21" s="3">
        <v>207</v>
      </c>
      <c r="AB21" s="5">
        <v>274275</v>
      </c>
      <c r="AC21" s="1">
        <v>1325</v>
      </c>
      <c r="AD21">
        <v>207</v>
      </c>
      <c r="AE21" s="1">
        <v>274275</v>
      </c>
      <c r="AF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 s="2">
        <v>42831</v>
      </c>
      <c r="AQ21" t="s">
        <v>72</v>
      </c>
      <c r="AR21" t="s">
        <v>72</v>
      </c>
      <c r="AS21">
        <v>186</v>
      </c>
      <c r="AT21" s="4">
        <v>42766</v>
      </c>
      <c r="AU21" t="s">
        <v>73</v>
      </c>
      <c r="AV21">
        <v>186</v>
      </c>
      <c r="AW21" s="4">
        <v>42766</v>
      </c>
      <c r="BD21">
        <v>0</v>
      </c>
      <c r="BN21" t="s">
        <v>74</v>
      </c>
    </row>
    <row r="22" spans="1:66">
      <c r="A22">
        <v>100032</v>
      </c>
      <c r="B22" t="s">
        <v>78</v>
      </c>
      <c r="C22" s="1">
        <v>43300101</v>
      </c>
      <c r="D22" t="s">
        <v>67</v>
      </c>
      <c r="H22" t="str">
        <f t="shared" si="2"/>
        <v>01316780426</v>
      </c>
      <c r="I22" t="str">
        <f t="shared" si="2"/>
        <v>01316780426</v>
      </c>
      <c r="K22" t="str">
        <f>""</f>
        <v/>
      </c>
      <c r="M22" t="s">
        <v>68</v>
      </c>
      <c r="N22" t="str">
        <f t="shared" si="1"/>
        <v>FOR</v>
      </c>
      <c r="O22" t="s">
        <v>69</v>
      </c>
      <c r="P22" t="s">
        <v>75</v>
      </c>
      <c r="Q22">
        <v>2016</v>
      </c>
      <c r="R22" s="4">
        <v>42468</v>
      </c>
      <c r="S22" s="2">
        <v>42492</v>
      </c>
      <c r="T22" s="2">
        <v>42488</v>
      </c>
      <c r="U22" s="4">
        <v>42548</v>
      </c>
      <c r="V22" t="s">
        <v>71</v>
      </c>
      <c r="W22" t="str">
        <f>"             4667/02"</f>
        <v xml:space="preserve">             4667/02</v>
      </c>
      <c r="X22" s="1">
        <v>1032.6099999999999</v>
      </c>
      <c r="Y22">
        <v>0</v>
      </c>
      <c r="Z22" s="5">
        <v>846.4</v>
      </c>
      <c r="AA22" s="3">
        <v>232</v>
      </c>
      <c r="AB22" s="5">
        <v>196364.79999999999</v>
      </c>
      <c r="AC22">
        <v>846.4</v>
      </c>
      <c r="AD22">
        <v>232</v>
      </c>
      <c r="AE22" s="1">
        <v>196364.79999999999</v>
      </c>
      <c r="AF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 s="2">
        <v>42831</v>
      </c>
      <c r="AQ22" t="s">
        <v>72</v>
      </c>
      <c r="AR22" t="s">
        <v>72</v>
      </c>
      <c r="AS22">
        <v>442</v>
      </c>
      <c r="AT22" s="4">
        <v>42780</v>
      </c>
      <c r="AU22" t="s">
        <v>73</v>
      </c>
      <c r="AV22">
        <v>442</v>
      </c>
      <c r="AW22" s="4">
        <v>42780</v>
      </c>
      <c r="BD22">
        <v>0</v>
      </c>
      <c r="BN22" t="s">
        <v>74</v>
      </c>
    </row>
    <row r="23" spans="1:66">
      <c r="A23">
        <v>100032</v>
      </c>
      <c r="B23" t="s">
        <v>78</v>
      </c>
      <c r="C23" s="1">
        <v>43300101</v>
      </c>
      <c r="D23" t="s">
        <v>67</v>
      </c>
      <c r="H23" t="str">
        <f t="shared" si="2"/>
        <v>01316780426</v>
      </c>
      <c r="I23" t="str">
        <f t="shared" si="2"/>
        <v>01316780426</v>
      </c>
      <c r="K23" t="str">
        <f>""</f>
        <v/>
      </c>
      <c r="M23" t="s">
        <v>68</v>
      </c>
      <c r="N23" t="str">
        <f t="shared" si="1"/>
        <v>FOR</v>
      </c>
      <c r="O23" t="s">
        <v>69</v>
      </c>
      <c r="P23" t="s">
        <v>75</v>
      </c>
      <c r="Q23">
        <v>2016</v>
      </c>
      <c r="R23" s="4">
        <v>42468</v>
      </c>
      <c r="S23" s="2">
        <v>42489</v>
      </c>
      <c r="T23" s="2">
        <v>42488</v>
      </c>
      <c r="U23" s="4">
        <v>42548</v>
      </c>
      <c r="V23" t="s">
        <v>71</v>
      </c>
      <c r="W23" t="str">
        <f>"             4668/02"</f>
        <v xml:space="preserve">             4668/02</v>
      </c>
      <c r="X23" s="1">
        <v>1450.82</v>
      </c>
      <c r="Y23">
        <v>0</v>
      </c>
      <c r="Z23" s="5">
        <v>1189.2</v>
      </c>
      <c r="AA23" s="3">
        <v>232</v>
      </c>
      <c r="AB23" s="5">
        <v>275894.40000000002</v>
      </c>
      <c r="AC23" s="1">
        <v>1189.2</v>
      </c>
      <c r="AD23">
        <v>232</v>
      </c>
      <c r="AE23" s="1">
        <v>275894.40000000002</v>
      </c>
      <c r="AF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 s="2">
        <v>42831</v>
      </c>
      <c r="AQ23" t="s">
        <v>72</v>
      </c>
      <c r="AR23" t="s">
        <v>72</v>
      </c>
      <c r="AS23">
        <v>442</v>
      </c>
      <c r="AT23" s="4">
        <v>42780</v>
      </c>
      <c r="AU23" t="s">
        <v>73</v>
      </c>
      <c r="AV23">
        <v>442</v>
      </c>
      <c r="AW23" s="4">
        <v>42780</v>
      </c>
      <c r="BD23">
        <v>0</v>
      </c>
      <c r="BN23" t="s">
        <v>74</v>
      </c>
    </row>
    <row r="24" spans="1:66">
      <c r="A24">
        <v>100032</v>
      </c>
      <c r="B24" t="s">
        <v>78</v>
      </c>
      <c r="C24" s="1">
        <v>43300101</v>
      </c>
      <c r="D24" t="s">
        <v>67</v>
      </c>
      <c r="H24" t="str">
        <f t="shared" si="2"/>
        <v>01316780426</v>
      </c>
      <c r="I24" t="str">
        <f t="shared" si="2"/>
        <v>01316780426</v>
      </c>
      <c r="K24" t="str">
        <f>""</f>
        <v/>
      </c>
      <c r="M24" t="s">
        <v>68</v>
      </c>
      <c r="N24" t="str">
        <f t="shared" si="1"/>
        <v>FOR</v>
      </c>
      <c r="O24" t="s">
        <v>69</v>
      </c>
      <c r="P24" t="s">
        <v>75</v>
      </c>
      <c r="Q24">
        <v>2016</v>
      </c>
      <c r="R24" s="4">
        <v>42481</v>
      </c>
      <c r="S24" s="2">
        <v>42501</v>
      </c>
      <c r="T24" s="2">
        <v>42499</v>
      </c>
      <c r="U24" s="4">
        <v>42559</v>
      </c>
      <c r="V24" t="s">
        <v>71</v>
      </c>
      <c r="W24" t="str">
        <f>"             5419/02"</f>
        <v xml:space="preserve">             5419/02</v>
      </c>
      <c r="X24">
        <v>512.4</v>
      </c>
      <c r="Y24">
        <v>0</v>
      </c>
      <c r="Z24" s="5">
        <v>420</v>
      </c>
      <c r="AA24" s="3">
        <v>221</v>
      </c>
      <c r="AB24" s="5">
        <v>92820</v>
      </c>
      <c r="AC24">
        <v>420</v>
      </c>
      <c r="AD24">
        <v>221</v>
      </c>
      <c r="AE24" s="1">
        <v>92820</v>
      </c>
      <c r="AF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 s="2">
        <v>42831</v>
      </c>
      <c r="AQ24" t="s">
        <v>72</v>
      </c>
      <c r="AR24" t="s">
        <v>72</v>
      </c>
      <c r="AS24">
        <v>442</v>
      </c>
      <c r="AT24" s="4">
        <v>42780</v>
      </c>
      <c r="AU24" t="s">
        <v>73</v>
      </c>
      <c r="AV24">
        <v>442</v>
      </c>
      <c r="AW24" s="4">
        <v>42780</v>
      </c>
      <c r="BD24">
        <v>0</v>
      </c>
      <c r="BN24" t="s">
        <v>74</v>
      </c>
    </row>
    <row r="25" spans="1:66">
      <c r="A25">
        <v>100032</v>
      </c>
      <c r="B25" t="s">
        <v>78</v>
      </c>
      <c r="C25" s="1">
        <v>43300101</v>
      </c>
      <c r="D25" t="s">
        <v>67</v>
      </c>
      <c r="H25" t="str">
        <f t="shared" si="2"/>
        <v>01316780426</v>
      </c>
      <c r="I25" t="str">
        <f t="shared" si="2"/>
        <v>01316780426</v>
      </c>
      <c r="K25" t="str">
        <f>""</f>
        <v/>
      </c>
      <c r="M25" t="s">
        <v>68</v>
      </c>
      <c r="N25" t="str">
        <f t="shared" si="1"/>
        <v>FOR</v>
      </c>
      <c r="O25" t="s">
        <v>69</v>
      </c>
      <c r="P25" t="s">
        <v>75</v>
      </c>
      <c r="Q25">
        <v>2016</v>
      </c>
      <c r="R25" s="4">
        <v>42481</v>
      </c>
      <c r="S25" s="2">
        <v>42501</v>
      </c>
      <c r="T25" s="2">
        <v>42499</v>
      </c>
      <c r="U25" s="4">
        <v>42559</v>
      </c>
      <c r="V25" t="s">
        <v>71</v>
      </c>
      <c r="W25" t="str">
        <f>"             5420/02"</f>
        <v xml:space="preserve">             5420/02</v>
      </c>
      <c r="X25" s="1">
        <v>1616.5</v>
      </c>
      <c r="Y25">
        <v>0</v>
      </c>
      <c r="Z25" s="5">
        <v>1325</v>
      </c>
      <c r="AA25" s="3">
        <v>221</v>
      </c>
      <c r="AB25" s="5">
        <v>292825</v>
      </c>
      <c r="AC25" s="1">
        <v>1325</v>
      </c>
      <c r="AD25">
        <v>221</v>
      </c>
      <c r="AE25" s="1">
        <v>292825</v>
      </c>
      <c r="AF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 s="2">
        <v>42831</v>
      </c>
      <c r="AQ25" t="s">
        <v>72</v>
      </c>
      <c r="AR25" t="s">
        <v>72</v>
      </c>
      <c r="AS25">
        <v>442</v>
      </c>
      <c r="AT25" s="4">
        <v>42780</v>
      </c>
      <c r="AU25" t="s">
        <v>73</v>
      </c>
      <c r="AV25">
        <v>442</v>
      </c>
      <c r="AW25" s="4">
        <v>42780</v>
      </c>
      <c r="BD25">
        <v>0</v>
      </c>
      <c r="BN25" t="s">
        <v>74</v>
      </c>
    </row>
    <row r="26" spans="1:66">
      <c r="A26">
        <v>100032</v>
      </c>
      <c r="B26" t="s">
        <v>78</v>
      </c>
      <c r="C26" s="1">
        <v>43300101</v>
      </c>
      <c r="D26" t="s">
        <v>67</v>
      </c>
      <c r="H26" t="str">
        <f t="shared" si="2"/>
        <v>01316780426</v>
      </c>
      <c r="I26" t="str">
        <f t="shared" si="2"/>
        <v>01316780426</v>
      </c>
      <c r="K26" t="str">
        <f>""</f>
        <v/>
      </c>
      <c r="M26" t="s">
        <v>68</v>
      </c>
      <c r="N26" t="str">
        <f t="shared" si="1"/>
        <v>FOR</v>
      </c>
      <c r="O26" t="s">
        <v>69</v>
      </c>
      <c r="P26" t="s">
        <v>75</v>
      </c>
      <c r="Q26">
        <v>2016</v>
      </c>
      <c r="R26" s="4">
        <v>42503</v>
      </c>
      <c r="S26" s="2">
        <v>42515</v>
      </c>
      <c r="T26" s="2">
        <v>42514</v>
      </c>
      <c r="U26" s="4">
        <v>42574</v>
      </c>
      <c r="V26" t="s">
        <v>71</v>
      </c>
      <c r="W26" t="str">
        <f>"             6566/02"</f>
        <v xml:space="preserve">             6566/02</v>
      </c>
      <c r="X26" s="1">
        <v>1623.58</v>
      </c>
      <c r="Y26">
        <v>0</v>
      </c>
      <c r="Z26" s="5">
        <v>1330.8</v>
      </c>
      <c r="AA26" s="3">
        <v>221</v>
      </c>
      <c r="AB26" s="5">
        <v>294106.8</v>
      </c>
      <c r="AC26" s="1">
        <v>1330.8</v>
      </c>
      <c r="AD26">
        <v>221</v>
      </c>
      <c r="AE26" s="1">
        <v>294106.8</v>
      </c>
      <c r="AF26">
        <v>292.77999999999997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 s="2">
        <v>42831</v>
      </c>
      <c r="AQ26" t="s">
        <v>72</v>
      </c>
      <c r="AR26" t="s">
        <v>72</v>
      </c>
      <c r="AS26">
        <v>640</v>
      </c>
      <c r="AT26" s="4">
        <v>42795</v>
      </c>
      <c r="AU26" t="s">
        <v>73</v>
      </c>
      <c r="AV26">
        <v>640</v>
      </c>
      <c r="AW26" s="4">
        <v>42795</v>
      </c>
      <c r="BD26">
        <v>292.77999999999997</v>
      </c>
      <c r="BN26" t="s">
        <v>74</v>
      </c>
    </row>
    <row r="27" spans="1:66">
      <c r="A27">
        <v>100032</v>
      </c>
      <c r="B27" t="s">
        <v>78</v>
      </c>
      <c r="C27" s="1">
        <v>43300101</v>
      </c>
      <c r="D27" t="s">
        <v>67</v>
      </c>
      <c r="H27" t="str">
        <f t="shared" si="2"/>
        <v>01316780426</v>
      </c>
      <c r="I27" t="str">
        <f t="shared" si="2"/>
        <v>01316780426</v>
      </c>
      <c r="K27" t="str">
        <f>""</f>
        <v/>
      </c>
      <c r="M27" t="s">
        <v>68</v>
      </c>
      <c r="N27" t="str">
        <f t="shared" si="1"/>
        <v>FOR</v>
      </c>
      <c r="O27" t="s">
        <v>69</v>
      </c>
      <c r="P27" t="s">
        <v>75</v>
      </c>
      <c r="Q27">
        <v>2016</v>
      </c>
      <c r="R27" s="4">
        <v>42503</v>
      </c>
      <c r="S27" s="2">
        <v>42515</v>
      </c>
      <c r="T27" s="2">
        <v>42514</v>
      </c>
      <c r="U27" s="4">
        <v>42574</v>
      </c>
      <c r="V27" t="s">
        <v>71</v>
      </c>
      <c r="W27" t="str">
        <f>"             6567/02"</f>
        <v xml:space="preserve">             6567/02</v>
      </c>
      <c r="X27">
        <v>958.43</v>
      </c>
      <c r="Y27">
        <v>0</v>
      </c>
      <c r="Z27" s="5">
        <v>785.6</v>
      </c>
      <c r="AA27" s="3">
        <v>221</v>
      </c>
      <c r="AB27" s="5">
        <v>173617.6</v>
      </c>
      <c r="AC27">
        <v>785.6</v>
      </c>
      <c r="AD27">
        <v>221</v>
      </c>
      <c r="AE27" s="1">
        <v>173617.6</v>
      </c>
      <c r="AF27">
        <v>172.83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 s="2">
        <v>42831</v>
      </c>
      <c r="AQ27" t="s">
        <v>72</v>
      </c>
      <c r="AR27" t="s">
        <v>72</v>
      </c>
      <c r="AS27">
        <v>640</v>
      </c>
      <c r="AT27" s="4">
        <v>42795</v>
      </c>
      <c r="AU27" t="s">
        <v>73</v>
      </c>
      <c r="AV27">
        <v>640</v>
      </c>
      <c r="AW27" s="4">
        <v>42795</v>
      </c>
      <c r="BD27">
        <v>172.83</v>
      </c>
      <c r="BN27" t="s">
        <v>74</v>
      </c>
    </row>
    <row r="28" spans="1:66">
      <c r="A28">
        <v>100043</v>
      </c>
      <c r="B28" t="s">
        <v>79</v>
      </c>
      <c r="C28" s="1">
        <v>43300101</v>
      </c>
      <c r="D28" t="s">
        <v>67</v>
      </c>
      <c r="H28" t="str">
        <f>"00468270582"</f>
        <v>00468270582</v>
      </c>
      <c r="I28" t="str">
        <f>"04494061007"</f>
        <v>04494061007</v>
      </c>
      <c r="K28" t="str">
        <f>""</f>
        <v/>
      </c>
      <c r="M28" t="s">
        <v>68</v>
      </c>
      <c r="N28" t="str">
        <f t="shared" si="1"/>
        <v>FOR</v>
      </c>
      <c r="O28" t="s">
        <v>69</v>
      </c>
      <c r="P28" t="s">
        <v>75</v>
      </c>
      <c r="Q28">
        <v>2016</v>
      </c>
      <c r="R28" s="4">
        <v>42447</v>
      </c>
      <c r="S28" s="2">
        <v>42454</v>
      </c>
      <c r="T28" s="2">
        <v>42454</v>
      </c>
      <c r="U28" s="4">
        <v>42514</v>
      </c>
      <c r="V28" t="s">
        <v>71</v>
      </c>
      <c r="W28" t="str">
        <f>"           450000859"</f>
        <v xml:space="preserve">           450000859</v>
      </c>
      <c r="X28">
        <v>451.84</v>
      </c>
      <c r="Y28">
        <v>0</v>
      </c>
      <c r="Z28" s="5">
        <v>410.76</v>
      </c>
      <c r="AA28" s="3">
        <v>252</v>
      </c>
      <c r="AB28" s="5">
        <v>103511.52</v>
      </c>
      <c r="AC28">
        <v>410.76</v>
      </c>
      <c r="AD28">
        <v>252</v>
      </c>
      <c r="AE28" s="1">
        <v>103511.52</v>
      </c>
      <c r="AF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 s="2">
        <v>42831</v>
      </c>
      <c r="AQ28" t="s">
        <v>72</v>
      </c>
      <c r="AR28" t="s">
        <v>72</v>
      </c>
      <c r="AS28">
        <v>163</v>
      </c>
      <c r="AT28" s="4">
        <v>42766</v>
      </c>
      <c r="AU28" t="s">
        <v>73</v>
      </c>
      <c r="AV28">
        <v>163</v>
      </c>
      <c r="AW28" s="4">
        <v>42766</v>
      </c>
      <c r="BD28">
        <v>0</v>
      </c>
      <c r="BN28" t="s">
        <v>74</v>
      </c>
    </row>
    <row r="29" spans="1:66">
      <c r="A29">
        <v>100043</v>
      </c>
      <c r="B29" t="s">
        <v>79</v>
      </c>
      <c r="C29" s="1">
        <v>43300101</v>
      </c>
      <c r="D29" t="s">
        <v>67</v>
      </c>
      <c r="H29" t="str">
        <f>"00468270582"</f>
        <v>00468270582</v>
      </c>
      <c r="I29" t="str">
        <f>"04494061007"</f>
        <v>04494061007</v>
      </c>
      <c r="K29" t="str">
        <f>""</f>
        <v/>
      </c>
      <c r="M29" t="s">
        <v>68</v>
      </c>
      <c r="N29" t="str">
        <f t="shared" si="1"/>
        <v>FOR</v>
      </c>
      <c r="O29" t="s">
        <v>69</v>
      </c>
      <c r="P29" t="s">
        <v>75</v>
      </c>
      <c r="Q29">
        <v>2016</v>
      </c>
      <c r="R29" s="4">
        <v>42461</v>
      </c>
      <c r="S29" s="2">
        <v>42473</v>
      </c>
      <c r="T29" s="2">
        <v>42468</v>
      </c>
      <c r="U29" s="4">
        <v>42528</v>
      </c>
      <c r="V29" t="s">
        <v>71</v>
      </c>
      <c r="W29" t="str">
        <f>"           450000992"</f>
        <v xml:space="preserve">           450000992</v>
      </c>
      <c r="X29" s="1">
        <v>1129.69</v>
      </c>
      <c r="Y29">
        <v>0</v>
      </c>
      <c r="Z29" s="5">
        <v>1026.99</v>
      </c>
      <c r="AA29" s="3">
        <v>238</v>
      </c>
      <c r="AB29" s="5">
        <v>244423.62</v>
      </c>
      <c r="AC29" s="1">
        <v>1026.99</v>
      </c>
      <c r="AD29">
        <v>238</v>
      </c>
      <c r="AE29" s="1">
        <v>244423.62</v>
      </c>
      <c r="AF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 s="2">
        <v>42831</v>
      </c>
      <c r="AQ29" t="s">
        <v>72</v>
      </c>
      <c r="AR29" t="s">
        <v>72</v>
      </c>
      <c r="AS29">
        <v>163</v>
      </c>
      <c r="AT29" s="4">
        <v>42766</v>
      </c>
      <c r="AU29" t="s">
        <v>73</v>
      </c>
      <c r="AV29">
        <v>163</v>
      </c>
      <c r="AW29" s="4">
        <v>42766</v>
      </c>
      <c r="BD29">
        <v>0</v>
      </c>
      <c r="BN29" t="s">
        <v>74</v>
      </c>
    </row>
    <row r="30" spans="1:66">
      <c r="A30">
        <v>100043</v>
      </c>
      <c r="B30" t="s">
        <v>79</v>
      </c>
      <c r="C30" s="1">
        <v>43300101</v>
      </c>
      <c r="D30" t="s">
        <v>67</v>
      </c>
      <c r="H30" t="str">
        <f>"00468270582"</f>
        <v>00468270582</v>
      </c>
      <c r="I30" t="str">
        <f>"04494061007"</f>
        <v>04494061007</v>
      </c>
      <c r="K30" t="str">
        <f>""</f>
        <v/>
      </c>
      <c r="M30" t="s">
        <v>68</v>
      </c>
      <c r="N30" t="str">
        <f t="shared" si="1"/>
        <v>FOR</v>
      </c>
      <c r="O30" t="s">
        <v>69</v>
      </c>
      <c r="P30" t="s">
        <v>75</v>
      </c>
      <c r="Q30">
        <v>2016</v>
      </c>
      <c r="R30" s="4">
        <v>42479</v>
      </c>
      <c r="S30" s="2">
        <v>42487</v>
      </c>
      <c r="T30" s="2">
        <v>42486</v>
      </c>
      <c r="U30" s="4">
        <v>42546</v>
      </c>
      <c r="V30" t="s">
        <v>71</v>
      </c>
      <c r="W30" t="str">
        <f>"           450001180"</f>
        <v xml:space="preserve">           450001180</v>
      </c>
      <c r="X30">
        <v>903.66</v>
      </c>
      <c r="Y30">
        <v>0</v>
      </c>
      <c r="Z30" s="5">
        <v>821.51</v>
      </c>
      <c r="AA30" s="3">
        <v>220</v>
      </c>
      <c r="AB30" s="5">
        <v>180732.2</v>
      </c>
      <c r="AC30">
        <v>821.51</v>
      </c>
      <c r="AD30">
        <v>220</v>
      </c>
      <c r="AE30" s="1">
        <v>180732.2</v>
      </c>
      <c r="AF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 s="2">
        <v>42831</v>
      </c>
      <c r="AQ30" t="s">
        <v>72</v>
      </c>
      <c r="AR30" t="s">
        <v>72</v>
      </c>
      <c r="AS30">
        <v>163</v>
      </c>
      <c r="AT30" s="4">
        <v>42766</v>
      </c>
      <c r="AU30" t="s">
        <v>73</v>
      </c>
      <c r="AV30">
        <v>163</v>
      </c>
      <c r="AW30" s="4">
        <v>42766</v>
      </c>
      <c r="BD30">
        <v>0</v>
      </c>
      <c r="BN30" t="s">
        <v>74</v>
      </c>
    </row>
    <row r="31" spans="1:66">
      <c r="A31">
        <v>100043</v>
      </c>
      <c r="B31" t="s">
        <v>79</v>
      </c>
      <c r="C31" s="1">
        <v>43300101</v>
      </c>
      <c r="D31" t="s">
        <v>67</v>
      </c>
      <c r="H31" t="str">
        <f>"00468270582"</f>
        <v>00468270582</v>
      </c>
      <c r="I31" t="str">
        <f>"04494061007"</f>
        <v>04494061007</v>
      </c>
      <c r="K31" t="str">
        <f>""</f>
        <v/>
      </c>
      <c r="M31" t="s">
        <v>68</v>
      </c>
      <c r="N31" t="str">
        <f t="shared" si="1"/>
        <v>FOR</v>
      </c>
      <c r="O31" t="s">
        <v>69</v>
      </c>
      <c r="P31" t="s">
        <v>75</v>
      </c>
      <c r="Q31">
        <v>2016</v>
      </c>
      <c r="R31" s="4">
        <v>42503</v>
      </c>
      <c r="S31" s="2">
        <v>42515</v>
      </c>
      <c r="T31" s="2">
        <v>42510</v>
      </c>
      <c r="U31" s="4">
        <v>42570</v>
      </c>
      <c r="V31" t="s">
        <v>71</v>
      </c>
      <c r="W31" t="str">
        <f>"           450001464"</f>
        <v xml:space="preserve">           450001464</v>
      </c>
      <c r="X31">
        <v>903.66</v>
      </c>
      <c r="Y31">
        <v>0</v>
      </c>
      <c r="Z31" s="5">
        <v>821.51</v>
      </c>
      <c r="AA31" s="3">
        <v>223</v>
      </c>
      <c r="AB31" s="5">
        <v>183196.73</v>
      </c>
      <c r="AC31">
        <v>821.51</v>
      </c>
      <c r="AD31">
        <v>223</v>
      </c>
      <c r="AE31" s="1">
        <v>183196.73</v>
      </c>
      <c r="AF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 s="2">
        <v>42831</v>
      </c>
      <c r="AQ31" t="s">
        <v>72</v>
      </c>
      <c r="AR31" t="s">
        <v>72</v>
      </c>
      <c r="AS31">
        <v>593</v>
      </c>
      <c r="AT31" s="4">
        <v>42793</v>
      </c>
      <c r="AU31" t="s">
        <v>73</v>
      </c>
      <c r="AV31">
        <v>593</v>
      </c>
      <c r="AW31" s="4">
        <v>42793</v>
      </c>
      <c r="BD31">
        <v>0</v>
      </c>
      <c r="BN31" t="s">
        <v>74</v>
      </c>
    </row>
    <row r="32" spans="1:66">
      <c r="A32">
        <v>100043</v>
      </c>
      <c r="B32" t="s">
        <v>79</v>
      </c>
      <c r="C32" s="1">
        <v>43300101</v>
      </c>
      <c r="D32" t="s">
        <v>67</v>
      </c>
      <c r="H32" t="str">
        <f>"00468270582"</f>
        <v>00468270582</v>
      </c>
      <c r="I32" t="str">
        <f>"04494061007"</f>
        <v>04494061007</v>
      </c>
      <c r="K32" t="str">
        <f>""</f>
        <v/>
      </c>
      <c r="M32" t="s">
        <v>68</v>
      </c>
      <c r="N32" t="str">
        <f t="shared" si="1"/>
        <v>FOR</v>
      </c>
      <c r="O32" t="s">
        <v>69</v>
      </c>
      <c r="P32" t="s">
        <v>75</v>
      </c>
      <c r="Q32">
        <v>2016</v>
      </c>
      <c r="R32" s="4">
        <v>42535</v>
      </c>
      <c r="S32" s="2">
        <v>42544</v>
      </c>
      <c r="T32" s="2">
        <v>42543</v>
      </c>
      <c r="U32" s="4">
        <v>42603</v>
      </c>
      <c r="V32" t="s">
        <v>71</v>
      </c>
      <c r="W32" t="str">
        <f>"           450001779"</f>
        <v xml:space="preserve">           450001779</v>
      </c>
      <c r="X32">
        <v>903.66</v>
      </c>
      <c r="Y32">
        <v>0</v>
      </c>
      <c r="Z32" s="5">
        <v>821.51</v>
      </c>
      <c r="AA32" s="3">
        <v>190</v>
      </c>
      <c r="AB32" s="5">
        <v>156086.9</v>
      </c>
      <c r="AC32">
        <v>821.51</v>
      </c>
      <c r="AD32">
        <v>190</v>
      </c>
      <c r="AE32" s="1">
        <v>156086.9</v>
      </c>
      <c r="AF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 s="2">
        <v>42831</v>
      </c>
      <c r="AQ32" t="s">
        <v>72</v>
      </c>
      <c r="AR32" t="s">
        <v>72</v>
      </c>
      <c r="AS32">
        <v>593</v>
      </c>
      <c r="AT32" s="4">
        <v>42793</v>
      </c>
      <c r="AU32" t="s">
        <v>73</v>
      </c>
      <c r="AV32">
        <v>593</v>
      </c>
      <c r="AW32" s="4">
        <v>42793</v>
      </c>
      <c r="BD32">
        <v>0</v>
      </c>
      <c r="BN32" t="s">
        <v>74</v>
      </c>
    </row>
    <row r="33" spans="1:66">
      <c r="A33">
        <v>100046</v>
      </c>
      <c r="B33" t="s">
        <v>80</v>
      </c>
      <c r="C33" s="1">
        <v>43300101</v>
      </c>
      <c r="D33" t="s">
        <v>67</v>
      </c>
      <c r="H33" t="str">
        <f>"07617050153"</f>
        <v>07617050153</v>
      </c>
      <c r="I33" t="str">
        <f>"07617050153"</f>
        <v>07617050153</v>
      </c>
      <c r="K33" t="str">
        <f>""</f>
        <v/>
      </c>
      <c r="M33" t="s">
        <v>68</v>
      </c>
      <c r="N33" t="str">
        <f t="shared" si="1"/>
        <v>FOR</v>
      </c>
      <c r="O33" t="s">
        <v>69</v>
      </c>
      <c r="P33" t="s">
        <v>75</v>
      </c>
      <c r="Q33">
        <v>2016</v>
      </c>
      <c r="R33" s="4">
        <v>42455</v>
      </c>
      <c r="S33" s="2">
        <v>42464</v>
      </c>
      <c r="T33" s="2">
        <v>42460</v>
      </c>
      <c r="U33" s="4">
        <v>42520</v>
      </c>
      <c r="V33" t="s">
        <v>71</v>
      </c>
      <c r="W33" t="str">
        <f>"          2016101533"</f>
        <v xml:space="preserve">          2016101533</v>
      </c>
      <c r="X33" s="1">
        <v>1518.9</v>
      </c>
      <c r="Y33">
        <v>0</v>
      </c>
      <c r="Z33" s="5">
        <v>1245</v>
      </c>
      <c r="AA33" s="3">
        <v>248</v>
      </c>
      <c r="AB33" s="5">
        <v>308760</v>
      </c>
      <c r="AC33" s="1">
        <v>1245</v>
      </c>
      <c r="AD33">
        <v>248</v>
      </c>
      <c r="AE33" s="1">
        <v>308760</v>
      </c>
      <c r="AF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 s="2">
        <v>42831</v>
      </c>
      <c r="AQ33" t="s">
        <v>72</v>
      </c>
      <c r="AR33" t="s">
        <v>72</v>
      </c>
      <c r="AS33">
        <v>278</v>
      </c>
      <c r="AT33" s="4">
        <v>42768</v>
      </c>
      <c r="AU33" t="s">
        <v>73</v>
      </c>
      <c r="AV33">
        <v>278</v>
      </c>
      <c r="AW33" s="4">
        <v>42768</v>
      </c>
      <c r="BD33">
        <v>0</v>
      </c>
      <c r="BN33" t="s">
        <v>74</v>
      </c>
    </row>
    <row r="34" spans="1:66" hidden="1">
      <c r="A34">
        <v>100052</v>
      </c>
      <c r="B34" t="s">
        <v>81</v>
      </c>
      <c r="C34" s="1">
        <v>43300101</v>
      </c>
      <c r="D34" t="s">
        <v>67</v>
      </c>
      <c r="H34" t="str">
        <f t="shared" ref="H34:I36" si="3">"00922061007"</f>
        <v>00922061007</v>
      </c>
      <c r="I34" t="str">
        <f t="shared" si="3"/>
        <v>00922061007</v>
      </c>
      <c r="K34" t="str">
        <f>""</f>
        <v/>
      </c>
      <c r="M34" t="s">
        <v>68</v>
      </c>
      <c r="N34" t="str">
        <f t="shared" si="1"/>
        <v>FOR</v>
      </c>
      <c r="O34" t="s">
        <v>69</v>
      </c>
      <c r="P34" t="s">
        <v>82</v>
      </c>
      <c r="Q34">
        <v>2017</v>
      </c>
      <c r="R34" s="4">
        <v>42755</v>
      </c>
      <c r="S34" s="2">
        <v>42755</v>
      </c>
      <c r="T34" s="2">
        <v>42755</v>
      </c>
      <c r="U34" s="4">
        <v>42815</v>
      </c>
      <c r="V34" t="s">
        <v>71</v>
      </c>
      <c r="W34" t="str">
        <f>"                0120"</f>
        <v xml:space="preserve">                0120</v>
      </c>
      <c r="X34">
        <v>0</v>
      </c>
      <c r="Y34">
        <v>780</v>
      </c>
      <c r="Z34" s="3">
        <v>780</v>
      </c>
      <c r="AA34" s="3">
        <v>-57</v>
      </c>
      <c r="AB34" s="5">
        <v>-44460</v>
      </c>
      <c r="AC34">
        <v>780</v>
      </c>
      <c r="AD34">
        <v>-57</v>
      </c>
      <c r="AE34" s="1">
        <v>-44460</v>
      </c>
      <c r="AF34">
        <v>0</v>
      </c>
      <c r="AJ34">
        <v>780</v>
      </c>
      <c r="AK34">
        <v>780</v>
      </c>
      <c r="AL34">
        <v>780</v>
      </c>
      <c r="AM34">
        <v>780</v>
      </c>
      <c r="AN34">
        <v>780</v>
      </c>
      <c r="AO34">
        <v>780</v>
      </c>
      <c r="AP34" s="2">
        <v>42831</v>
      </c>
      <c r="AQ34" t="s">
        <v>72</v>
      </c>
      <c r="AR34" t="s">
        <v>72</v>
      </c>
      <c r="AS34">
        <v>91</v>
      </c>
      <c r="AT34" s="4">
        <v>42758</v>
      </c>
      <c r="AV34">
        <v>91</v>
      </c>
      <c r="AW34" s="4">
        <v>42758</v>
      </c>
      <c r="BD34">
        <v>0</v>
      </c>
      <c r="BN34" t="s">
        <v>74</v>
      </c>
    </row>
    <row r="35" spans="1:66" hidden="1">
      <c r="A35">
        <v>100052</v>
      </c>
      <c r="B35" t="s">
        <v>81</v>
      </c>
      <c r="C35" s="1">
        <v>43300101</v>
      </c>
      <c r="D35" t="s">
        <v>67</v>
      </c>
      <c r="H35" t="str">
        <f t="shared" si="3"/>
        <v>00922061007</v>
      </c>
      <c r="I35" t="str">
        <f t="shared" si="3"/>
        <v>00922061007</v>
      </c>
      <c r="K35" t="str">
        <f>""</f>
        <v/>
      </c>
      <c r="M35" t="s">
        <v>68</v>
      </c>
      <c r="N35" t="str">
        <f t="shared" si="1"/>
        <v>FOR</v>
      </c>
      <c r="O35" t="s">
        <v>69</v>
      </c>
      <c r="P35" t="s">
        <v>83</v>
      </c>
      <c r="Q35">
        <v>2017</v>
      </c>
      <c r="R35" s="4">
        <v>42786</v>
      </c>
      <c r="S35" s="2">
        <v>42787</v>
      </c>
      <c r="T35" s="2">
        <v>42787</v>
      </c>
      <c r="U35" s="4">
        <v>42847</v>
      </c>
      <c r="V35" t="s">
        <v>71</v>
      </c>
      <c r="W35" t="str">
        <f>"                0220"</f>
        <v xml:space="preserve">                0220</v>
      </c>
      <c r="X35">
        <v>0</v>
      </c>
      <c r="Y35">
        <v>780</v>
      </c>
      <c r="Z35" s="3">
        <v>780</v>
      </c>
      <c r="AA35" s="3">
        <v>-60</v>
      </c>
      <c r="AB35" s="5">
        <v>-46800</v>
      </c>
      <c r="AC35">
        <v>780</v>
      </c>
      <c r="AD35">
        <v>-60</v>
      </c>
      <c r="AE35" s="1">
        <v>-46800</v>
      </c>
      <c r="AF35">
        <v>0</v>
      </c>
      <c r="AJ35">
        <v>780</v>
      </c>
      <c r="AK35">
        <v>780</v>
      </c>
      <c r="AL35">
        <v>780</v>
      </c>
      <c r="AM35">
        <v>780</v>
      </c>
      <c r="AN35">
        <v>780</v>
      </c>
      <c r="AO35">
        <v>780</v>
      </c>
      <c r="AP35" s="2">
        <v>42831</v>
      </c>
      <c r="AQ35" t="s">
        <v>72</v>
      </c>
      <c r="AR35" t="s">
        <v>72</v>
      </c>
      <c r="AS35">
        <v>571</v>
      </c>
      <c r="AT35" s="4">
        <v>42787</v>
      </c>
      <c r="AV35">
        <v>571</v>
      </c>
      <c r="AW35" s="4">
        <v>42787</v>
      </c>
      <c r="BD35">
        <v>0</v>
      </c>
      <c r="BN35" t="s">
        <v>74</v>
      </c>
    </row>
    <row r="36" spans="1:66" hidden="1">
      <c r="A36">
        <v>100052</v>
      </c>
      <c r="B36" t="s">
        <v>81</v>
      </c>
      <c r="C36" s="1">
        <v>43300101</v>
      </c>
      <c r="D36" t="s">
        <v>67</v>
      </c>
      <c r="H36" t="str">
        <f t="shared" si="3"/>
        <v>00922061007</v>
      </c>
      <c r="I36" t="str">
        <f t="shared" si="3"/>
        <v>00922061007</v>
      </c>
      <c r="K36" t="str">
        <f>""</f>
        <v/>
      </c>
      <c r="M36" t="s">
        <v>68</v>
      </c>
      <c r="N36" t="str">
        <f t="shared" si="1"/>
        <v>FOR</v>
      </c>
      <c r="O36" t="s">
        <v>69</v>
      </c>
      <c r="P36" t="s">
        <v>84</v>
      </c>
      <c r="Q36">
        <v>2017</v>
      </c>
      <c r="R36" s="4">
        <v>42815</v>
      </c>
      <c r="S36" s="2">
        <v>42815</v>
      </c>
      <c r="T36" s="2">
        <v>42815</v>
      </c>
      <c r="U36" s="4">
        <v>42875</v>
      </c>
      <c r="V36" t="s">
        <v>71</v>
      </c>
      <c r="W36" t="str">
        <f>"                0321"</f>
        <v xml:space="preserve">                0321</v>
      </c>
      <c r="X36">
        <v>0</v>
      </c>
      <c r="Y36">
        <v>780</v>
      </c>
      <c r="Z36" s="3">
        <v>780</v>
      </c>
      <c r="AA36" s="3">
        <v>-60</v>
      </c>
      <c r="AB36" s="5">
        <v>-46800</v>
      </c>
      <c r="AC36">
        <v>780</v>
      </c>
      <c r="AD36">
        <v>-60</v>
      </c>
      <c r="AE36" s="1">
        <v>-46800</v>
      </c>
      <c r="AF36">
        <v>0</v>
      </c>
      <c r="AJ36">
        <v>780</v>
      </c>
      <c r="AK36">
        <v>780</v>
      </c>
      <c r="AL36">
        <v>780</v>
      </c>
      <c r="AM36">
        <v>780</v>
      </c>
      <c r="AN36">
        <v>780</v>
      </c>
      <c r="AO36">
        <v>780</v>
      </c>
      <c r="AP36" s="2">
        <v>42831</v>
      </c>
      <c r="AQ36" t="s">
        <v>72</v>
      </c>
      <c r="AR36" t="s">
        <v>72</v>
      </c>
      <c r="AS36">
        <v>869</v>
      </c>
      <c r="AT36" s="4">
        <v>42815</v>
      </c>
      <c r="AV36">
        <v>869</v>
      </c>
      <c r="AW36" s="4">
        <v>42815</v>
      </c>
      <c r="BD36">
        <v>0</v>
      </c>
      <c r="BN36" t="s">
        <v>74</v>
      </c>
    </row>
    <row r="37" spans="1:66">
      <c r="A37">
        <v>100053</v>
      </c>
      <c r="B37" t="s">
        <v>85</v>
      </c>
      <c r="C37" s="1">
        <v>43300101</v>
      </c>
      <c r="D37" t="s">
        <v>67</v>
      </c>
      <c r="H37" t="str">
        <f>"07435060152"</f>
        <v>07435060152</v>
      </c>
      <c r="I37" t="str">
        <f>"07435060152"</f>
        <v>07435060152</v>
      </c>
      <c r="K37" t="str">
        <f>""</f>
        <v/>
      </c>
      <c r="M37" t="s">
        <v>68</v>
      </c>
      <c r="N37" t="str">
        <f t="shared" si="1"/>
        <v>FOR</v>
      </c>
      <c r="O37" t="s">
        <v>69</v>
      </c>
      <c r="P37" t="s">
        <v>75</v>
      </c>
      <c r="Q37">
        <v>2016</v>
      </c>
      <c r="R37" s="4">
        <v>42452</v>
      </c>
      <c r="S37" s="2">
        <v>42473</v>
      </c>
      <c r="T37" s="2">
        <v>42467</v>
      </c>
      <c r="U37" s="4">
        <v>42527</v>
      </c>
      <c r="V37" t="s">
        <v>71</v>
      </c>
      <c r="W37" t="str">
        <f>"         9R/36017542"</f>
        <v xml:space="preserve">         9R/36017542</v>
      </c>
      <c r="X37">
        <v>775.92</v>
      </c>
      <c r="Y37">
        <v>0</v>
      </c>
      <c r="Z37" s="5">
        <v>636</v>
      </c>
      <c r="AA37" s="3">
        <v>247</v>
      </c>
      <c r="AB37" s="5">
        <v>157092</v>
      </c>
      <c r="AC37">
        <v>636</v>
      </c>
      <c r="AD37">
        <v>247</v>
      </c>
      <c r="AE37" s="1">
        <v>157092</v>
      </c>
      <c r="AF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 s="2">
        <v>42831</v>
      </c>
      <c r="AQ37" t="s">
        <v>72</v>
      </c>
      <c r="AR37" t="s">
        <v>72</v>
      </c>
      <c r="AS37">
        <v>332</v>
      </c>
      <c r="AT37" s="4">
        <v>42774</v>
      </c>
      <c r="AU37" t="s">
        <v>73</v>
      </c>
      <c r="AV37">
        <v>332</v>
      </c>
      <c r="AW37" s="4">
        <v>42774</v>
      </c>
      <c r="BD37">
        <v>0</v>
      </c>
      <c r="BN37" t="s">
        <v>74</v>
      </c>
    </row>
    <row r="38" spans="1:66">
      <c r="A38">
        <v>100053</v>
      </c>
      <c r="B38" t="s">
        <v>85</v>
      </c>
      <c r="C38" s="1">
        <v>43300101</v>
      </c>
      <c r="D38" t="s">
        <v>67</v>
      </c>
      <c r="H38" t="str">
        <f>"07435060152"</f>
        <v>07435060152</v>
      </c>
      <c r="I38" t="str">
        <f>"07435060152"</f>
        <v>07435060152</v>
      </c>
      <c r="K38" t="str">
        <f>""</f>
        <v/>
      </c>
      <c r="M38" t="s">
        <v>68</v>
      </c>
      <c r="N38" t="str">
        <f t="shared" si="1"/>
        <v>FOR</v>
      </c>
      <c r="O38" t="s">
        <v>69</v>
      </c>
      <c r="P38" t="s">
        <v>75</v>
      </c>
      <c r="Q38">
        <v>2016</v>
      </c>
      <c r="R38" s="4">
        <v>42480</v>
      </c>
      <c r="S38" s="2">
        <v>42496</v>
      </c>
      <c r="T38" s="2">
        <v>42493</v>
      </c>
      <c r="U38" s="4">
        <v>42553</v>
      </c>
      <c r="V38" t="s">
        <v>71</v>
      </c>
      <c r="W38" t="str">
        <f>"         9R/36024585"</f>
        <v xml:space="preserve">         9R/36024585</v>
      </c>
      <c r="X38">
        <v>775.92</v>
      </c>
      <c r="Y38">
        <v>0</v>
      </c>
      <c r="Z38" s="5">
        <v>636</v>
      </c>
      <c r="AA38" s="3">
        <v>221</v>
      </c>
      <c r="AB38" s="5">
        <v>140556</v>
      </c>
      <c r="AC38">
        <v>636</v>
      </c>
      <c r="AD38">
        <v>221</v>
      </c>
      <c r="AE38" s="1">
        <v>140556</v>
      </c>
      <c r="AF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 s="2">
        <v>42831</v>
      </c>
      <c r="AQ38" t="s">
        <v>72</v>
      </c>
      <c r="AR38" t="s">
        <v>72</v>
      </c>
      <c r="AS38">
        <v>332</v>
      </c>
      <c r="AT38" s="4">
        <v>42774</v>
      </c>
      <c r="AU38" t="s">
        <v>73</v>
      </c>
      <c r="AV38">
        <v>332</v>
      </c>
      <c r="AW38" s="4">
        <v>42774</v>
      </c>
      <c r="BD38">
        <v>0</v>
      </c>
      <c r="BN38" t="s">
        <v>74</v>
      </c>
    </row>
    <row r="39" spans="1:66">
      <c r="A39">
        <v>100059</v>
      </c>
      <c r="B39" t="s">
        <v>86</v>
      </c>
      <c r="C39" s="1">
        <v>43300101</v>
      </c>
      <c r="D39" t="s">
        <v>67</v>
      </c>
      <c r="H39" t="str">
        <f t="shared" ref="H39:I46" si="4">"05849130157"</f>
        <v>05849130157</v>
      </c>
      <c r="I39" t="str">
        <f t="shared" si="4"/>
        <v>05849130157</v>
      </c>
      <c r="K39" t="str">
        <f>""</f>
        <v/>
      </c>
      <c r="M39" t="s">
        <v>68</v>
      </c>
      <c r="N39" t="str">
        <f t="shared" si="1"/>
        <v>FOR</v>
      </c>
      <c r="O39" t="s">
        <v>69</v>
      </c>
      <c r="P39" t="s">
        <v>75</v>
      </c>
      <c r="Q39">
        <v>2016</v>
      </c>
      <c r="R39" s="4">
        <v>42437</v>
      </c>
      <c r="S39" s="2">
        <v>42438</v>
      </c>
      <c r="T39" s="2">
        <v>42438</v>
      </c>
      <c r="U39" s="4">
        <v>42498</v>
      </c>
      <c r="V39" t="s">
        <v>71</v>
      </c>
      <c r="W39" t="str">
        <f>"          8515303605"</f>
        <v xml:space="preserve">          8515303605</v>
      </c>
      <c r="X39" s="1">
        <v>4661.25</v>
      </c>
      <c r="Y39">
        <v>0</v>
      </c>
      <c r="Z39" s="5">
        <v>4237.5</v>
      </c>
      <c r="AA39" s="3">
        <v>276</v>
      </c>
      <c r="AB39" s="5">
        <v>1169550</v>
      </c>
      <c r="AC39" s="1">
        <v>4237.5</v>
      </c>
      <c r="AD39">
        <v>276</v>
      </c>
      <c r="AE39" s="1">
        <v>1169550</v>
      </c>
      <c r="AF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 s="2">
        <v>42831</v>
      </c>
      <c r="AQ39" t="s">
        <v>72</v>
      </c>
      <c r="AR39" t="s">
        <v>72</v>
      </c>
      <c r="AS39">
        <v>346</v>
      </c>
      <c r="AT39" s="4">
        <v>42774</v>
      </c>
      <c r="AU39" t="s">
        <v>73</v>
      </c>
      <c r="AV39">
        <v>346</v>
      </c>
      <c r="AW39" s="4">
        <v>42774</v>
      </c>
      <c r="BD39">
        <v>0</v>
      </c>
      <c r="BN39" t="s">
        <v>74</v>
      </c>
    </row>
    <row r="40" spans="1:66">
      <c r="A40">
        <v>100059</v>
      </c>
      <c r="B40" t="s">
        <v>86</v>
      </c>
      <c r="C40" s="1">
        <v>43300101</v>
      </c>
      <c r="D40" t="s">
        <v>67</v>
      </c>
      <c r="H40" t="str">
        <f t="shared" si="4"/>
        <v>05849130157</v>
      </c>
      <c r="I40" t="str">
        <f t="shared" si="4"/>
        <v>05849130157</v>
      </c>
      <c r="K40" t="str">
        <f>""</f>
        <v/>
      </c>
      <c r="M40" t="s">
        <v>68</v>
      </c>
      <c r="N40" t="str">
        <f t="shared" si="1"/>
        <v>FOR</v>
      </c>
      <c r="O40" t="s">
        <v>69</v>
      </c>
      <c r="P40" t="s">
        <v>75</v>
      </c>
      <c r="Q40">
        <v>2016</v>
      </c>
      <c r="R40" s="4">
        <v>42445</v>
      </c>
      <c r="S40" s="2">
        <v>42446</v>
      </c>
      <c r="T40" s="2">
        <v>42445</v>
      </c>
      <c r="U40" s="4">
        <v>42505</v>
      </c>
      <c r="V40" t="s">
        <v>71</v>
      </c>
      <c r="W40" t="str">
        <f>"          8515312482"</f>
        <v xml:space="preserve">          8515312482</v>
      </c>
      <c r="X40" s="1">
        <v>3283.5</v>
      </c>
      <c r="Y40">
        <v>0</v>
      </c>
      <c r="Z40" s="5">
        <v>2985</v>
      </c>
      <c r="AA40" s="3">
        <v>269</v>
      </c>
      <c r="AB40" s="5">
        <v>802965</v>
      </c>
      <c r="AC40" s="1">
        <v>2985</v>
      </c>
      <c r="AD40">
        <v>269</v>
      </c>
      <c r="AE40" s="1">
        <v>802965</v>
      </c>
      <c r="AF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 s="2">
        <v>42831</v>
      </c>
      <c r="AQ40" t="s">
        <v>72</v>
      </c>
      <c r="AR40" t="s">
        <v>72</v>
      </c>
      <c r="AS40">
        <v>346</v>
      </c>
      <c r="AT40" s="4">
        <v>42774</v>
      </c>
      <c r="AU40" t="s">
        <v>73</v>
      </c>
      <c r="AV40">
        <v>346</v>
      </c>
      <c r="AW40" s="4">
        <v>42774</v>
      </c>
      <c r="BD40">
        <v>0</v>
      </c>
      <c r="BN40" t="s">
        <v>74</v>
      </c>
    </row>
    <row r="41" spans="1:66">
      <c r="A41">
        <v>100059</v>
      </c>
      <c r="B41" t="s">
        <v>86</v>
      </c>
      <c r="C41" s="1">
        <v>43300101</v>
      </c>
      <c r="D41" t="s">
        <v>67</v>
      </c>
      <c r="H41" t="str">
        <f t="shared" si="4"/>
        <v>05849130157</v>
      </c>
      <c r="I41" t="str">
        <f t="shared" si="4"/>
        <v>05849130157</v>
      </c>
      <c r="K41" t="str">
        <f>""</f>
        <v/>
      </c>
      <c r="M41" t="s">
        <v>68</v>
      </c>
      <c r="N41" t="str">
        <f t="shared" si="1"/>
        <v>FOR</v>
      </c>
      <c r="O41" t="s">
        <v>69</v>
      </c>
      <c r="P41" t="s">
        <v>75</v>
      </c>
      <c r="Q41">
        <v>2016</v>
      </c>
      <c r="R41" s="4">
        <v>42445</v>
      </c>
      <c r="S41" s="2">
        <v>42446</v>
      </c>
      <c r="T41" s="2">
        <v>42445</v>
      </c>
      <c r="U41" s="4">
        <v>42505</v>
      </c>
      <c r="V41" t="s">
        <v>71</v>
      </c>
      <c r="W41" t="str">
        <f>"          8515312483"</f>
        <v xml:space="preserve">          8515312483</v>
      </c>
      <c r="X41" s="1">
        <v>3664.65</v>
      </c>
      <c r="Y41">
        <v>0</v>
      </c>
      <c r="Z41" s="5">
        <v>3331.5</v>
      </c>
      <c r="AA41" s="3">
        <v>269</v>
      </c>
      <c r="AB41" s="5">
        <v>896173.5</v>
      </c>
      <c r="AC41" s="1">
        <v>3331.5</v>
      </c>
      <c r="AD41">
        <v>269</v>
      </c>
      <c r="AE41" s="1">
        <v>896173.5</v>
      </c>
      <c r="AF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 s="2">
        <v>42831</v>
      </c>
      <c r="AQ41" t="s">
        <v>72</v>
      </c>
      <c r="AR41" t="s">
        <v>72</v>
      </c>
      <c r="AS41">
        <v>346</v>
      </c>
      <c r="AT41" s="4">
        <v>42774</v>
      </c>
      <c r="AU41" t="s">
        <v>73</v>
      </c>
      <c r="AV41">
        <v>346</v>
      </c>
      <c r="AW41" s="4">
        <v>42774</v>
      </c>
      <c r="BD41">
        <v>0</v>
      </c>
      <c r="BN41" t="s">
        <v>74</v>
      </c>
    </row>
    <row r="42" spans="1:66">
      <c r="A42">
        <v>100059</v>
      </c>
      <c r="B42" t="s">
        <v>86</v>
      </c>
      <c r="C42" s="1">
        <v>43300101</v>
      </c>
      <c r="D42" t="s">
        <v>67</v>
      </c>
      <c r="H42" t="str">
        <f t="shared" si="4"/>
        <v>05849130157</v>
      </c>
      <c r="I42" t="str">
        <f t="shared" si="4"/>
        <v>05849130157</v>
      </c>
      <c r="K42" t="str">
        <f>""</f>
        <v/>
      </c>
      <c r="M42" t="s">
        <v>68</v>
      </c>
      <c r="N42" t="str">
        <f t="shared" si="1"/>
        <v>FOR</v>
      </c>
      <c r="O42" t="s">
        <v>69</v>
      </c>
      <c r="P42" t="s">
        <v>75</v>
      </c>
      <c r="Q42">
        <v>2016</v>
      </c>
      <c r="R42" s="4">
        <v>42454</v>
      </c>
      <c r="S42" s="2">
        <v>42454</v>
      </c>
      <c r="T42" s="2">
        <v>42454</v>
      </c>
      <c r="U42" s="4">
        <v>42514</v>
      </c>
      <c r="V42" t="s">
        <v>71</v>
      </c>
      <c r="W42" t="str">
        <f>"          8515326046"</f>
        <v xml:space="preserve">          8515326046</v>
      </c>
      <c r="X42" s="1">
        <v>2074</v>
      </c>
      <c r="Y42">
        <v>0</v>
      </c>
      <c r="Z42" s="5">
        <v>1700</v>
      </c>
      <c r="AA42" s="3">
        <v>260</v>
      </c>
      <c r="AB42" s="5">
        <v>442000</v>
      </c>
      <c r="AC42" s="1">
        <v>1700</v>
      </c>
      <c r="AD42">
        <v>260</v>
      </c>
      <c r="AE42" s="1">
        <v>442000</v>
      </c>
      <c r="AF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 s="2">
        <v>42831</v>
      </c>
      <c r="AQ42" t="s">
        <v>72</v>
      </c>
      <c r="AR42" t="s">
        <v>72</v>
      </c>
      <c r="AS42">
        <v>346</v>
      </c>
      <c r="AT42" s="4">
        <v>42774</v>
      </c>
      <c r="AU42" t="s">
        <v>73</v>
      </c>
      <c r="AV42">
        <v>346</v>
      </c>
      <c r="AW42" s="4">
        <v>42774</v>
      </c>
      <c r="BD42">
        <v>0</v>
      </c>
      <c r="BN42" t="s">
        <v>74</v>
      </c>
    </row>
    <row r="43" spans="1:66">
      <c r="A43">
        <v>100059</v>
      </c>
      <c r="B43" t="s">
        <v>86</v>
      </c>
      <c r="C43" s="1">
        <v>43300101</v>
      </c>
      <c r="D43" t="s">
        <v>67</v>
      </c>
      <c r="H43" t="str">
        <f t="shared" si="4"/>
        <v>05849130157</v>
      </c>
      <c r="I43" t="str">
        <f t="shared" si="4"/>
        <v>05849130157</v>
      </c>
      <c r="K43" t="str">
        <f>""</f>
        <v/>
      </c>
      <c r="M43" t="s">
        <v>68</v>
      </c>
      <c r="N43" t="str">
        <f t="shared" si="1"/>
        <v>FOR</v>
      </c>
      <c r="O43" t="s">
        <v>69</v>
      </c>
      <c r="P43" t="s">
        <v>75</v>
      </c>
      <c r="Q43">
        <v>2016</v>
      </c>
      <c r="R43" s="4">
        <v>42454</v>
      </c>
      <c r="S43" s="2">
        <v>42457</v>
      </c>
      <c r="T43" s="2">
        <v>42454</v>
      </c>
      <c r="U43" s="4">
        <v>42514</v>
      </c>
      <c r="V43" t="s">
        <v>71</v>
      </c>
      <c r="W43" t="str">
        <f>"          8515326047"</f>
        <v xml:space="preserve">          8515326047</v>
      </c>
      <c r="X43" s="1">
        <v>3283.5</v>
      </c>
      <c r="Y43">
        <v>0</v>
      </c>
      <c r="Z43" s="5">
        <v>2985</v>
      </c>
      <c r="AA43" s="3">
        <v>260</v>
      </c>
      <c r="AB43" s="5">
        <v>776100</v>
      </c>
      <c r="AC43" s="1">
        <v>2985</v>
      </c>
      <c r="AD43">
        <v>260</v>
      </c>
      <c r="AE43" s="1">
        <v>776100</v>
      </c>
      <c r="AF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 s="2">
        <v>42831</v>
      </c>
      <c r="AQ43" t="s">
        <v>72</v>
      </c>
      <c r="AR43" t="s">
        <v>72</v>
      </c>
      <c r="AS43">
        <v>346</v>
      </c>
      <c r="AT43" s="4">
        <v>42774</v>
      </c>
      <c r="AU43" t="s">
        <v>73</v>
      </c>
      <c r="AV43">
        <v>346</v>
      </c>
      <c r="AW43" s="4">
        <v>42774</v>
      </c>
      <c r="BD43">
        <v>0</v>
      </c>
      <c r="BN43" t="s">
        <v>74</v>
      </c>
    </row>
    <row r="44" spans="1:66">
      <c r="A44">
        <v>100059</v>
      </c>
      <c r="B44" t="s">
        <v>86</v>
      </c>
      <c r="C44" s="1">
        <v>43300101</v>
      </c>
      <c r="D44" t="s">
        <v>67</v>
      </c>
      <c r="H44" t="str">
        <f t="shared" si="4"/>
        <v>05849130157</v>
      </c>
      <c r="I44" t="str">
        <f t="shared" si="4"/>
        <v>05849130157</v>
      </c>
      <c r="K44" t="str">
        <f>""</f>
        <v/>
      </c>
      <c r="M44" t="s">
        <v>68</v>
      </c>
      <c r="N44" t="str">
        <f t="shared" ref="N44:N75" si="5">"FOR"</f>
        <v>FOR</v>
      </c>
      <c r="O44" t="s">
        <v>69</v>
      </c>
      <c r="P44" t="s">
        <v>75</v>
      </c>
      <c r="Q44">
        <v>2016</v>
      </c>
      <c r="R44" s="4">
        <v>42466</v>
      </c>
      <c r="S44" s="2">
        <v>42481</v>
      </c>
      <c r="T44" s="2">
        <v>42478</v>
      </c>
      <c r="U44" s="4">
        <v>42538</v>
      </c>
      <c r="V44" t="s">
        <v>71</v>
      </c>
      <c r="W44" t="str">
        <f>"          8515335494"</f>
        <v xml:space="preserve">          8515335494</v>
      </c>
      <c r="X44">
        <v>300.52</v>
      </c>
      <c r="Y44">
        <v>0</v>
      </c>
      <c r="Z44" s="5">
        <v>273.2</v>
      </c>
      <c r="AA44" s="3">
        <v>236</v>
      </c>
      <c r="AB44" s="5">
        <v>64475.199999999997</v>
      </c>
      <c r="AC44">
        <v>273.2</v>
      </c>
      <c r="AD44">
        <v>236</v>
      </c>
      <c r="AE44" s="1">
        <v>64475.199999999997</v>
      </c>
      <c r="AF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 s="2">
        <v>42831</v>
      </c>
      <c r="AQ44" t="s">
        <v>72</v>
      </c>
      <c r="AR44" t="s">
        <v>72</v>
      </c>
      <c r="AS44">
        <v>346</v>
      </c>
      <c r="AT44" s="4">
        <v>42774</v>
      </c>
      <c r="AU44" t="s">
        <v>73</v>
      </c>
      <c r="AV44">
        <v>346</v>
      </c>
      <c r="AW44" s="4">
        <v>42774</v>
      </c>
      <c r="BD44">
        <v>0</v>
      </c>
      <c r="BN44" t="s">
        <v>74</v>
      </c>
    </row>
    <row r="45" spans="1:66">
      <c r="A45">
        <v>100059</v>
      </c>
      <c r="B45" t="s">
        <v>86</v>
      </c>
      <c r="C45" s="1">
        <v>43300101</v>
      </c>
      <c r="D45" t="s">
        <v>67</v>
      </c>
      <c r="H45" t="str">
        <f t="shared" si="4"/>
        <v>05849130157</v>
      </c>
      <c r="I45" t="str">
        <f t="shared" si="4"/>
        <v>05849130157</v>
      </c>
      <c r="K45" t="str">
        <f>""</f>
        <v/>
      </c>
      <c r="M45" t="s">
        <v>68</v>
      </c>
      <c r="N45" t="str">
        <f t="shared" si="5"/>
        <v>FOR</v>
      </c>
      <c r="O45" t="s">
        <v>69</v>
      </c>
      <c r="P45" t="s">
        <v>75</v>
      </c>
      <c r="Q45">
        <v>2016</v>
      </c>
      <c r="R45" s="4">
        <v>42467</v>
      </c>
      <c r="S45" s="2">
        <v>42473</v>
      </c>
      <c r="T45" s="2">
        <v>42467</v>
      </c>
      <c r="U45" s="4">
        <v>42527</v>
      </c>
      <c r="V45" t="s">
        <v>71</v>
      </c>
      <c r="W45" t="str">
        <f>"          8515336517"</f>
        <v xml:space="preserve">          8515336517</v>
      </c>
      <c r="X45" s="1">
        <v>2074</v>
      </c>
      <c r="Y45">
        <v>0</v>
      </c>
      <c r="Z45" s="5">
        <v>1700</v>
      </c>
      <c r="AA45" s="3">
        <v>247</v>
      </c>
      <c r="AB45" s="5">
        <v>419900</v>
      </c>
      <c r="AC45" s="1">
        <v>1700</v>
      </c>
      <c r="AD45">
        <v>247</v>
      </c>
      <c r="AE45" s="1">
        <v>419900</v>
      </c>
      <c r="AF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 s="2">
        <v>42831</v>
      </c>
      <c r="AQ45" t="s">
        <v>72</v>
      </c>
      <c r="AR45" t="s">
        <v>72</v>
      </c>
      <c r="AS45">
        <v>346</v>
      </c>
      <c r="AT45" s="4">
        <v>42774</v>
      </c>
      <c r="AU45" t="s">
        <v>73</v>
      </c>
      <c r="AV45">
        <v>346</v>
      </c>
      <c r="AW45" s="4">
        <v>42774</v>
      </c>
      <c r="BD45">
        <v>0</v>
      </c>
      <c r="BN45" t="s">
        <v>74</v>
      </c>
    </row>
    <row r="46" spans="1:66">
      <c r="A46">
        <v>100059</v>
      </c>
      <c r="B46" t="s">
        <v>86</v>
      </c>
      <c r="C46" s="1">
        <v>43300101</v>
      </c>
      <c r="D46" t="s">
        <v>67</v>
      </c>
      <c r="H46" t="str">
        <f t="shared" si="4"/>
        <v>05849130157</v>
      </c>
      <c r="I46" t="str">
        <f t="shared" si="4"/>
        <v>05849130157</v>
      </c>
      <c r="K46" t="str">
        <f>""</f>
        <v/>
      </c>
      <c r="M46" t="s">
        <v>68</v>
      </c>
      <c r="N46" t="str">
        <f t="shared" si="5"/>
        <v>FOR</v>
      </c>
      <c r="O46" t="s">
        <v>69</v>
      </c>
      <c r="P46" t="s">
        <v>75</v>
      </c>
      <c r="Q46">
        <v>2016</v>
      </c>
      <c r="R46" s="4">
        <v>42508</v>
      </c>
      <c r="S46" s="2">
        <v>42543</v>
      </c>
      <c r="T46" s="2">
        <v>42542</v>
      </c>
      <c r="U46" s="4">
        <v>42602</v>
      </c>
      <c r="V46" t="s">
        <v>71</v>
      </c>
      <c r="W46" t="str">
        <f>"          8515370474"</f>
        <v xml:space="preserve">          8515370474</v>
      </c>
      <c r="X46" s="1">
        <v>3283.5</v>
      </c>
      <c r="Y46">
        <v>0</v>
      </c>
      <c r="Z46" s="5">
        <v>2985</v>
      </c>
      <c r="AA46" s="3">
        <v>193</v>
      </c>
      <c r="AB46" s="5">
        <v>576105</v>
      </c>
      <c r="AC46" s="1">
        <v>2985</v>
      </c>
      <c r="AD46">
        <v>193</v>
      </c>
      <c r="AE46" s="1">
        <v>576105</v>
      </c>
      <c r="AF46">
        <v>298.5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 s="2">
        <v>42831</v>
      </c>
      <c r="AQ46" t="s">
        <v>72</v>
      </c>
      <c r="AR46" t="s">
        <v>72</v>
      </c>
      <c r="AS46">
        <v>634</v>
      </c>
      <c r="AT46" s="4">
        <v>42795</v>
      </c>
      <c r="AU46" t="s">
        <v>73</v>
      </c>
      <c r="AV46">
        <v>634</v>
      </c>
      <c r="AW46" s="4">
        <v>42795</v>
      </c>
      <c r="BD46">
        <v>298.5</v>
      </c>
      <c r="BN46" t="s">
        <v>74</v>
      </c>
    </row>
    <row r="47" spans="1:66">
      <c r="A47">
        <v>100064</v>
      </c>
      <c r="B47" t="s">
        <v>87</v>
      </c>
      <c r="C47" s="1">
        <v>43300101</v>
      </c>
      <c r="D47" t="s">
        <v>67</v>
      </c>
      <c r="H47" t="str">
        <f t="shared" ref="H47:I51" si="6">"00421210485"</f>
        <v>00421210485</v>
      </c>
      <c r="I47" t="str">
        <f t="shared" si="6"/>
        <v>00421210485</v>
      </c>
      <c r="K47" t="str">
        <f>""</f>
        <v/>
      </c>
      <c r="M47" t="s">
        <v>68</v>
      </c>
      <c r="N47" t="str">
        <f t="shared" si="5"/>
        <v>FOR</v>
      </c>
      <c r="O47" t="s">
        <v>69</v>
      </c>
      <c r="P47" t="s">
        <v>75</v>
      </c>
      <c r="Q47">
        <v>2016</v>
      </c>
      <c r="R47" s="4">
        <v>42446</v>
      </c>
      <c r="S47" s="2">
        <v>42452</v>
      </c>
      <c r="T47" s="2">
        <v>42450</v>
      </c>
      <c r="U47" s="4">
        <v>42510</v>
      </c>
      <c r="V47" t="s">
        <v>71</v>
      </c>
      <c r="W47" t="str">
        <f>"          5025018707"</f>
        <v xml:space="preserve">          5025018707</v>
      </c>
      <c r="X47">
        <v>659.34</v>
      </c>
      <c r="Y47">
        <v>0</v>
      </c>
      <c r="Z47" s="5">
        <v>599.4</v>
      </c>
      <c r="AA47" s="3">
        <v>256</v>
      </c>
      <c r="AB47" s="5">
        <v>153446.39999999999</v>
      </c>
      <c r="AC47">
        <v>599.4</v>
      </c>
      <c r="AD47">
        <v>256</v>
      </c>
      <c r="AE47" s="1">
        <v>153446.39999999999</v>
      </c>
      <c r="AF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 s="2">
        <v>42831</v>
      </c>
      <c r="AQ47" t="s">
        <v>72</v>
      </c>
      <c r="AR47" t="s">
        <v>72</v>
      </c>
      <c r="AS47">
        <v>184</v>
      </c>
      <c r="AT47" s="4">
        <v>42766</v>
      </c>
      <c r="AU47" t="s">
        <v>73</v>
      </c>
      <c r="AV47">
        <v>184</v>
      </c>
      <c r="AW47" s="4">
        <v>42766</v>
      </c>
      <c r="BD47">
        <v>0</v>
      </c>
      <c r="BN47" t="s">
        <v>74</v>
      </c>
    </row>
    <row r="48" spans="1:66">
      <c r="A48">
        <v>100064</v>
      </c>
      <c r="B48" t="s">
        <v>87</v>
      </c>
      <c r="C48" s="1">
        <v>43300101</v>
      </c>
      <c r="D48" t="s">
        <v>67</v>
      </c>
      <c r="H48" t="str">
        <f t="shared" si="6"/>
        <v>00421210485</v>
      </c>
      <c r="I48" t="str">
        <f t="shared" si="6"/>
        <v>00421210485</v>
      </c>
      <c r="K48" t="str">
        <f>""</f>
        <v/>
      </c>
      <c r="M48" t="s">
        <v>68</v>
      </c>
      <c r="N48" t="str">
        <f t="shared" si="5"/>
        <v>FOR</v>
      </c>
      <c r="O48" t="s">
        <v>69</v>
      </c>
      <c r="P48" t="s">
        <v>75</v>
      </c>
      <c r="Q48">
        <v>2016</v>
      </c>
      <c r="R48" s="4">
        <v>42482</v>
      </c>
      <c r="S48" s="2">
        <v>42487</v>
      </c>
      <c r="T48" s="2">
        <v>42486</v>
      </c>
      <c r="U48" s="4">
        <v>42546</v>
      </c>
      <c r="V48" t="s">
        <v>71</v>
      </c>
      <c r="W48" t="str">
        <f>"          5025027662"</f>
        <v xml:space="preserve">          5025027662</v>
      </c>
      <c r="X48" s="1">
        <v>5775</v>
      </c>
      <c r="Y48">
        <v>0</v>
      </c>
      <c r="Z48" s="5">
        <v>5250</v>
      </c>
      <c r="AA48" s="3">
        <v>234</v>
      </c>
      <c r="AB48" s="5">
        <v>1228500</v>
      </c>
      <c r="AC48" s="1">
        <v>5250</v>
      </c>
      <c r="AD48">
        <v>234</v>
      </c>
      <c r="AE48" s="1">
        <v>1228500</v>
      </c>
      <c r="AF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 s="2">
        <v>42831</v>
      </c>
      <c r="AQ48" t="s">
        <v>72</v>
      </c>
      <c r="AR48" t="s">
        <v>72</v>
      </c>
      <c r="AS48">
        <v>433</v>
      </c>
      <c r="AT48" s="4">
        <v>42780</v>
      </c>
      <c r="AU48" t="s">
        <v>73</v>
      </c>
      <c r="AV48">
        <v>433</v>
      </c>
      <c r="AW48" s="4">
        <v>42780</v>
      </c>
      <c r="BD48">
        <v>0</v>
      </c>
      <c r="BN48" t="s">
        <v>74</v>
      </c>
    </row>
    <row r="49" spans="1:66">
      <c r="A49">
        <v>100064</v>
      </c>
      <c r="B49" t="s">
        <v>87</v>
      </c>
      <c r="C49" s="1">
        <v>43300101</v>
      </c>
      <c r="D49" t="s">
        <v>67</v>
      </c>
      <c r="H49" t="str">
        <f t="shared" si="6"/>
        <v>00421210485</v>
      </c>
      <c r="I49" t="str">
        <f t="shared" si="6"/>
        <v>00421210485</v>
      </c>
      <c r="K49" t="str">
        <f>""</f>
        <v/>
      </c>
      <c r="M49" t="s">
        <v>68</v>
      </c>
      <c r="N49" t="str">
        <f t="shared" si="5"/>
        <v>FOR</v>
      </c>
      <c r="O49" t="s">
        <v>69</v>
      </c>
      <c r="P49" t="s">
        <v>75</v>
      </c>
      <c r="Q49">
        <v>2016</v>
      </c>
      <c r="R49" s="4">
        <v>42534</v>
      </c>
      <c r="S49" s="2">
        <v>42535</v>
      </c>
      <c r="T49" s="2">
        <v>42534</v>
      </c>
      <c r="U49" s="4">
        <v>42594</v>
      </c>
      <c r="V49" t="s">
        <v>71</v>
      </c>
      <c r="W49" t="str">
        <f>"          5025042229"</f>
        <v xml:space="preserve">          5025042229</v>
      </c>
      <c r="X49">
        <v>659.34</v>
      </c>
      <c r="Y49">
        <v>0</v>
      </c>
      <c r="Z49" s="5">
        <v>599.4</v>
      </c>
      <c r="AA49" s="3">
        <v>201</v>
      </c>
      <c r="AB49" s="5">
        <v>120479.4</v>
      </c>
      <c r="AC49">
        <v>599.4</v>
      </c>
      <c r="AD49">
        <v>201</v>
      </c>
      <c r="AE49" s="1">
        <v>120479.4</v>
      </c>
      <c r="AF49">
        <v>59.94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 s="2">
        <v>42831</v>
      </c>
      <c r="AQ49" t="s">
        <v>72</v>
      </c>
      <c r="AR49" t="s">
        <v>72</v>
      </c>
      <c r="AS49">
        <v>626</v>
      </c>
      <c r="AT49" s="4">
        <v>42795</v>
      </c>
      <c r="AU49" t="s">
        <v>73</v>
      </c>
      <c r="AV49">
        <v>626</v>
      </c>
      <c r="AW49" s="4">
        <v>42795</v>
      </c>
      <c r="BD49">
        <v>59.94</v>
      </c>
      <c r="BN49" t="s">
        <v>74</v>
      </c>
    </row>
    <row r="50" spans="1:66">
      <c r="A50">
        <v>100064</v>
      </c>
      <c r="B50" t="s">
        <v>87</v>
      </c>
      <c r="C50" s="1">
        <v>43300101</v>
      </c>
      <c r="D50" t="s">
        <v>67</v>
      </c>
      <c r="H50" t="str">
        <f t="shared" si="6"/>
        <v>00421210485</v>
      </c>
      <c r="I50" t="str">
        <f t="shared" si="6"/>
        <v>00421210485</v>
      </c>
      <c r="K50" t="str">
        <f>""</f>
        <v/>
      </c>
      <c r="M50" t="s">
        <v>68</v>
      </c>
      <c r="N50" t="str">
        <f t="shared" si="5"/>
        <v>FOR</v>
      </c>
      <c r="O50" t="s">
        <v>69</v>
      </c>
      <c r="P50" t="s">
        <v>75</v>
      </c>
      <c r="Q50">
        <v>2016</v>
      </c>
      <c r="R50" s="4">
        <v>42625</v>
      </c>
      <c r="S50" s="2">
        <v>42627</v>
      </c>
      <c r="T50" s="2">
        <v>42626</v>
      </c>
      <c r="U50" s="4">
        <v>42686</v>
      </c>
      <c r="V50" t="s">
        <v>71</v>
      </c>
      <c r="W50" t="str">
        <f>"          5025063320"</f>
        <v xml:space="preserve">          5025063320</v>
      </c>
      <c r="X50">
        <v>659.34</v>
      </c>
      <c r="Y50">
        <v>0</v>
      </c>
      <c r="Z50" s="5">
        <v>599.4</v>
      </c>
      <c r="AA50" s="3">
        <v>109</v>
      </c>
      <c r="AB50" s="5">
        <v>65334.6</v>
      </c>
      <c r="AC50">
        <v>599.4</v>
      </c>
      <c r="AD50">
        <v>109</v>
      </c>
      <c r="AE50" s="1">
        <v>65334.6</v>
      </c>
      <c r="AF50">
        <v>59.94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 s="2">
        <v>42831</v>
      </c>
      <c r="AQ50" t="s">
        <v>72</v>
      </c>
      <c r="AR50" t="s">
        <v>72</v>
      </c>
      <c r="AS50">
        <v>626</v>
      </c>
      <c r="AT50" s="4">
        <v>42795</v>
      </c>
      <c r="AU50" t="s">
        <v>73</v>
      </c>
      <c r="AV50">
        <v>626</v>
      </c>
      <c r="AW50" s="4">
        <v>42795</v>
      </c>
      <c r="BB50">
        <v>59.94</v>
      </c>
      <c r="BD50">
        <v>0</v>
      </c>
      <c r="BN50" t="s">
        <v>74</v>
      </c>
    </row>
    <row r="51" spans="1:66">
      <c r="A51">
        <v>100064</v>
      </c>
      <c r="B51" t="s">
        <v>87</v>
      </c>
      <c r="C51" s="1">
        <v>43300101</v>
      </c>
      <c r="D51" t="s">
        <v>67</v>
      </c>
      <c r="H51" t="str">
        <f t="shared" si="6"/>
        <v>00421210485</v>
      </c>
      <c r="I51" t="str">
        <f t="shared" si="6"/>
        <v>00421210485</v>
      </c>
      <c r="K51" t="str">
        <f>""</f>
        <v/>
      </c>
      <c r="M51" t="s">
        <v>68</v>
      </c>
      <c r="N51" t="str">
        <f t="shared" si="5"/>
        <v>FOR</v>
      </c>
      <c r="O51" t="s">
        <v>69</v>
      </c>
      <c r="P51" t="s">
        <v>75</v>
      </c>
      <c r="Q51">
        <v>2016</v>
      </c>
      <c r="R51" s="4">
        <v>42703</v>
      </c>
      <c r="S51" s="2">
        <v>42711</v>
      </c>
      <c r="T51" s="2">
        <v>42705</v>
      </c>
      <c r="U51" s="4">
        <v>42765</v>
      </c>
      <c r="V51" t="s">
        <v>71</v>
      </c>
      <c r="W51" t="str">
        <f>"          5025088705"</f>
        <v xml:space="preserve">          5025088705</v>
      </c>
      <c r="X51" s="1">
        <v>1889.7</v>
      </c>
      <c r="Y51">
        <v>0</v>
      </c>
      <c r="Z51" s="5">
        <v>1717.91</v>
      </c>
      <c r="AA51" s="3">
        <v>30</v>
      </c>
      <c r="AB51" s="5">
        <v>51537.3</v>
      </c>
      <c r="AC51" s="1">
        <v>1717.91</v>
      </c>
      <c r="AD51">
        <v>30</v>
      </c>
      <c r="AE51" s="1">
        <v>51537.3</v>
      </c>
      <c r="AF51">
        <v>171.79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 s="2">
        <v>42831</v>
      </c>
      <c r="AQ51" t="s">
        <v>72</v>
      </c>
      <c r="AR51" t="s">
        <v>72</v>
      </c>
      <c r="AS51">
        <v>626</v>
      </c>
      <c r="AT51" s="4">
        <v>42795</v>
      </c>
      <c r="AU51" t="s">
        <v>73</v>
      </c>
      <c r="AV51">
        <v>626</v>
      </c>
      <c r="AW51" s="4">
        <v>42795</v>
      </c>
      <c r="AZ51">
        <v>171.79</v>
      </c>
      <c r="BD51">
        <v>0</v>
      </c>
      <c r="BN51" t="s">
        <v>74</v>
      </c>
    </row>
    <row r="52" spans="1:66">
      <c r="A52">
        <v>100065</v>
      </c>
      <c r="B52" t="s">
        <v>88</v>
      </c>
      <c r="C52" s="1">
        <v>43300101</v>
      </c>
      <c r="D52" t="s">
        <v>67</v>
      </c>
      <c r="H52" t="str">
        <f t="shared" ref="H52:H59" si="7">"00082130592"</f>
        <v>00082130592</v>
      </c>
      <c r="I52" t="str">
        <f t="shared" ref="I52:I59" si="8">"01726510595"</f>
        <v>01726510595</v>
      </c>
      <c r="K52" t="str">
        <f>""</f>
        <v/>
      </c>
      <c r="M52" t="s">
        <v>68</v>
      </c>
      <c r="N52" t="str">
        <f t="shared" si="5"/>
        <v>FOR</v>
      </c>
      <c r="O52" t="s">
        <v>69</v>
      </c>
      <c r="P52" t="s">
        <v>89</v>
      </c>
      <c r="Q52">
        <v>2001</v>
      </c>
      <c r="R52" s="4">
        <v>36966</v>
      </c>
      <c r="S52" s="2">
        <v>42633</v>
      </c>
      <c r="T52" s="2">
        <v>42633</v>
      </c>
      <c r="U52" s="4">
        <v>42693</v>
      </c>
      <c r="V52" t="s">
        <v>71</v>
      </c>
      <c r="W52" t="str">
        <f>"          2290016712"</f>
        <v xml:space="preserve">          2290016712</v>
      </c>
      <c r="X52">
        <v>-490.58</v>
      </c>
      <c r="Y52">
        <v>0</v>
      </c>
      <c r="Z52" s="5">
        <v>-490.58</v>
      </c>
      <c r="AA52" s="3">
        <v>100</v>
      </c>
      <c r="AB52" s="5">
        <v>-49058</v>
      </c>
      <c r="AC52">
        <v>-490.58</v>
      </c>
      <c r="AD52">
        <v>100</v>
      </c>
      <c r="AE52" s="1">
        <v>-49058</v>
      </c>
      <c r="AF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 s="2">
        <v>42831</v>
      </c>
      <c r="AQ52" t="s">
        <v>72</v>
      </c>
      <c r="AR52" t="s">
        <v>72</v>
      </c>
      <c r="AS52">
        <v>595</v>
      </c>
      <c r="AT52" s="4">
        <v>42793</v>
      </c>
      <c r="AU52" t="s">
        <v>73</v>
      </c>
      <c r="AV52">
        <v>595</v>
      </c>
      <c r="AW52" s="4">
        <v>42793</v>
      </c>
      <c r="BD52">
        <v>0</v>
      </c>
      <c r="BN52" t="s">
        <v>74</v>
      </c>
    </row>
    <row r="53" spans="1:66">
      <c r="A53">
        <v>100065</v>
      </c>
      <c r="B53" t="s">
        <v>88</v>
      </c>
      <c r="C53" s="1">
        <v>43300101</v>
      </c>
      <c r="D53" t="s">
        <v>67</v>
      </c>
      <c r="H53" t="str">
        <f t="shared" si="7"/>
        <v>00082130592</v>
      </c>
      <c r="I53" t="str">
        <f t="shared" si="8"/>
        <v>01726510595</v>
      </c>
      <c r="K53" t="str">
        <f>""</f>
        <v/>
      </c>
      <c r="M53" t="s">
        <v>68</v>
      </c>
      <c r="N53" t="str">
        <f t="shared" si="5"/>
        <v>FOR</v>
      </c>
      <c r="O53" t="s">
        <v>69</v>
      </c>
      <c r="P53" t="s">
        <v>75</v>
      </c>
      <c r="Q53">
        <v>2016</v>
      </c>
      <c r="R53" s="4">
        <v>42438</v>
      </c>
      <c r="S53" s="2">
        <v>42443</v>
      </c>
      <c r="T53" s="2">
        <v>42439</v>
      </c>
      <c r="U53" s="4">
        <v>42499</v>
      </c>
      <c r="V53" t="s">
        <v>71</v>
      </c>
      <c r="W53" t="str">
        <f>"          2686012065"</f>
        <v xml:space="preserve">          2686012065</v>
      </c>
      <c r="X53">
        <v>291.5</v>
      </c>
      <c r="Y53">
        <v>0</v>
      </c>
      <c r="Z53" s="5">
        <v>265</v>
      </c>
      <c r="AA53" s="3">
        <v>269</v>
      </c>
      <c r="AB53" s="5">
        <v>71285</v>
      </c>
      <c r="AC53">
        <v>265</v>
      </c>
      <c r="AD53">
        <v>269</v>
      </c>
      <c r="AE53" s="1">
        <v>71285</v>
      </c>
      <c r="AF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 s="2">
        <v>42831</v>
      </c>
      <c r="AQ53" t="s">
        <v>72</v>
      </c>
      <c r="AR53" t="s">
        <v>72</v>
      </c>
      <c r="AS53">
        <v>215</v>
      </c>
      <c r="AT53" s="4">
        <v>42768</v>
      </c>
      <c r="AU53" t="s">
        <v>73</v>
      </c>
      <c r="AV53">
        <v>215</v>
      </c>
      <c r="AW53" s="4">
        <v>42768</v>
      </c>
      <c r="BD53">
        <v>0</v>
      </c>
      <c r="BN53" t="s">
        <v>74</v>
      </c>
    </row>
    <row r="54" spans="1:66">
      <c r="A54">
        <v>100065</v>
      </c>
      <c r="B54" t="s">
        <v>88</v>
      </c>
      <c r="C54" s="1">
        <v>43300101</v>
      </c>
      <c r="D54" t="s">
        <v>67</v>
      </c>
      <c r="H54" t="str">
        <f t="shared" si="7"/>
        <v>00082130592</v>
      </c>
      <c r="I54" t="str">
        <f t="shared" si="8"/>
        <v>01726510595</v>
      </c>
      <c r="K54" t="str">
        <f>""</f>
        <v/>
      </c>
      <c r="M54" t="s">
        <v>68</v>
      </c>
      <c r="N54" t="str">
        <f t="shared" si="5"/>
        <v>FOR</v>
      </c>
      <c r="O54" t="s">
        <v>69</v>
      </c>
      <c r="P54" t="s">
        <v>75</v>
      </c>
      <c r="Q54">
        <v>2016</v>
      </c>
      <c r="R54" s="4">
        <v>42494</v>
      </c>
      <c r="S54" s="2">
        <v>42496</v>
      </c>
      <c r="T54" s="2">
        <v>42495</v>
      </c>
      <c r="U54" s="4">
        <v>42555</v>
      </c>
      <c r="V54" t="s">
        <v>71</v>
      </c>
      <c r="W54" t="str">
        <f>"          2686021976"</f>
        <v xml:space="preserve">          2686021976</v>
      </c>
      <c r="X54" s="1">
        <v>2868.1</v>
      </c>
      <c r="Y54">
        <v>0</v>
      </c>
      <c r="Z54" s="5">
        <v>2607.36</v>
      </c>
      <c r="AA54" s="3">
        <v>238</v>
      </c>
      <c r="AB54" s="5">
        <v>620551.68000000005</v>
      </c>
      <c r="AC54" s="1">
        <v>2607.36</v>
      </c>
      <c r="AD54">
        <v>238</v>
      </c>
      <c r="AE54" s="1">
        <v>620551.68000000005</v>
      </c>
      <c r="AF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 s="2">
        <v>42831</v>
      </c>
      <c r="AQ54" t="s">
        <v>72</v>
      </c>
      <c r="AR54" t="s">
        <v>72</v>
      </c>
      <c r="AS54">
        <v>595</v>
      </c>
      <c r="AT54" s="4">
        <v>42793</v>
      </c>
      <c r="AU54" t="s">
        <v>73</v>
      </c>
      <c r="AV54">
        <v>595</v>
      </c>
      <c r="AW54" s="4">
        <v>42793</v>
      </c>
      <c r="BD54">
        <v>0</v>
      </c>
      <c r="BN54" t="s">
        <v>74</v>
      </c>
    </row>
    <row r="55" spans="1:66">
      <c r="A55">
        <v>100065</v>
      </c>
      <c r="B55" t="s">
        <v>88</v>
      </c>
      <c r="C55" s="1">
        <v>43300101</v>
      </c>
      <c r="D55" t="s">
        <v>67</v>
      </c>
      <c r="H55" t="str">
        <f t="shared" si="7"/>
        <v>00082130592</v>
      </c>
      <c r="I55" t="str">
        <f t="shared" si="8"/>
        <v>01726510595</v>
      </c>
      <c r="K55" t="str">
        <f>""</f>
        <v/>
      </c>
      <c r="M55" t="s">
        <v>68</v>
      </c>
      <c r="N55" t="str">
        <f t="shared" si="5"/>
        <v>FOR</v>
      </c>
      <c r="O55" t="s">
        <v>69</v>
      </c>
      <c r="P55" t="s">
        <v>75</v>
      </c>
      <c r="Q55">
        <v>2016</v>
      </c>
      <c r="R55" s="4">
        <v>42506</v>
      </c>
      <c r="S55" s="2">
        <v>42509</v>
      </c>
      <c r="T55" s="2">
        <v>42507</v>
      </c>
      <c r="U55" s="4">
        <v>42567</v>
      </c>
      <c r="V55" t="s">
        <v>71</v>
      </c>
      <c r="W55" t="str">
        <f>"          2686024063"</f>
        <v xml:space="preserve">          2686024063</v>
      </c>
      <c r="X55" s="1">
        <v>2868.1</v>
      </c>
      <c r="Y55">
        <v>0</v>
      </c>
      <c r="Z55" s="5">
        <v>2607.36</v>
      </c>
      <c r="AA55" s="3">
        <v>226</v>
      </c>
      <c r="AB55" s="5">
        <v>589263.35999999999</v>
      </c>
      <c r="AC55" s="1">
        <v>2607.36</v>
      </c>
      <c r="AD55">
        <v>226</v>
      </c>
      <c r="AE55" s="1">
        <v>589263.35999999999</v>
      </c>
      <c r="AF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 s="2">
        <v>42831</v>
      </c>
      <c r="AQ55" t="s">
        <v>72</v>
      </c>
      <c r="AR55" t="s">
        <v>72</v>
      </c>
      <c r="AS55">
        <v>595</v>
      </c>
      <c r="AT55" s="4">
        <v>42793</v>
      </c>
      <c r="AU55" t="s">
        <v>73</v>
      </c>
      <c r="AV55">
        <v>595</v>
      </c>
      <c r="AW55" s="4">
        <v>42793</v>
      </c>
      <c r="BD55">
        <v>0</v>
      </c>
      <c r="BN55" t="s">
        <v>74</v>
      </c>
    </row>
    <row r="56" spans="1:66">
      <c r="A56">
        <v>100065</v>
      </c>
      <c r="B56" t="s">
        <v>88</v>
      </c>
      <c r="C56" s="1">
        <v>43300101</v>
      </c>
      <c r="D56" t="s">
        <v>67</v>
      </c>
      <c r="H56" t="str">
        <f t="shared" si="7"/>
        <v>00082130592</v>
      </c>
      <c r="I56" t="str">
        <f t="shared" si="8"/>
        <v>01726510595</v>
      </c>
      <c r="K56" t="str">
        <f>""</f>
        <v/>
      </c>
      <c r="M56" t="s">
        <v>68</v>
      </c>
      <c r="N56" t="str">
        <f t="shared" si="5"/>
        <v>FOR</v>
      </c>
      <c r="O56" t="s">
        <v>69</v>
      </c>
      <c r="P56" t="s">
        <v>75</v>
      </c>
      <c r="Q56">
        <v>2016</v>
      </c>
      <c r="R56" s="4">
        <v>42510</v>
      </c>
      <c r="S56" s="2">
        <v>42515</v>
      </c>
      <c r="T56" s="2">
        <v>42511</v>
      </c>
      <c r="U56" s="4">
        <v>42571</v>
      </c>
      <c r="V56" t="s">
        <v>71</v>
      </c>
      <c r="W56" t="str">
        <f>"          2686025125"</f>
        <v xml:space="preserve">          2686025125</v>
      </c>
      <c r="X56" s="1">
        <v>2868.1</v>
      </c>
      <c r="Y56">
        <v>0</v>
      </c>
      <c r="Z56" s="5">
        <v>2607.36</v>
      </c>
      <c r="AA56" s="3">
        <v>222</v>
      </c>
      <c r="AB56" s="5">
        <v>578833.92000000004</v>
      </c>
      <c r="AC56" s="1">
        <v>2607.36</v>
      </c>
      <c r="AD56">
        <v>222</v>
      </c>
      <c r="AE56" s="1">
        <v>578833.92000000004</v>
      </c>
      <c r="AF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 s="2">
        <v>42831</v>
      </c>
      <c r="AQ56" t="s">
        <v>72</v>
      </c>
      <c r="AR56" t="s">
        <v>72</v>
      </c>
      <c r="AS56">
        <v>595</v>
      </c>
      <c r="AT56" s="4">
        <v>42793</v>
      </c>
      <c r="AU56" t="s">
        <v>73</v>
      </c>
      <c r="AV56">
        <v>595</v>
      </c>
      <c r="AW56" s="4">
        <v>42793</v>
      </c>
      <c r="BD56">
        <v>0</v>
      </c>
      <c r="BN56" t="s">
        <v>74</v>
      </c>
    </row>
    <row r="57" spans="1:66">
      <c r="A57">
        <v>100065</v>
      </c>
      <c r="B57" t="s">
        <v>88</v>
      </c>
      <c r="C57" s="1">
        <v>43300101</v>
      </c>
      <c r="D57" t="s">
        <v>67</v>
      </c>
      <c r="H57" t="str">
        <f t="shared" si="7"/>
        <v>00082130592</v>
      </c>
      <c r="I57" t="str">
        <f t="shared" si="8"/>
        <v>01726510595</v>
      </c>
      <c r="K57" t="str">
        <f>""</f>
        <v/>
      </c>
      <c r="M57" t="s">
        <v>68</v>
      </c>
      <c r="N57" t="str">
        <f t="shared" si="5"/>
        <v>FOR</v>
      </c>
      <c r="O57" t="s">
        <v>69</v>
      </c>
      <c r="P57" t="s">
        <v>75</v>
      </c>
      <c r="Q57">
        <v>2016</v>
      </c>
      <c r="R57" s="4">
        <v>42528</v>
      </c>
      <c r="S57" s="2">
        <v>42530</v>
      </c>
      <c r="T57" s="2">
        <v>42529</v>
      </c>
      <c r="U57" s="4">
        <v>42589</v>
      </c>
      <c r="V57" t="s">
        <v>71</v>
      </c>
      <c r="W57" t="str">
        <f>"          2686028350"</f>
        <v xml:space="preserve">          2686028350</v>
      </c>
      <c r="X57" s="1">
        <v>2868.1</v>
      </c>
      <c r="Y57">
        <v>0</v>
      </c>
      <c r="Z57" s="5">
        <v>2607.36</v>
      </c>
      <c r="AA57" s="3">
        <v>229</v>
      </c>
      <c r="AB57" s="5">
        <v>597085.43999999994</v>
      </c>
      <c r="AC57" s="1">
        <v>2607.36</v>
      </c>
      <c r="AD57">
        <v>229</v>
      </c>
      <c r="AE57" s="1">
        <v>597085.43999999994</v>
      </c>
      <c r="AF57">
        <v>260.74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 s="2">
        <v>42831</v>
      </c>
      <c r="AQ57" t="s">
        <v>72</v>
      </c>
      <c r="AR57" t="s">
        <v>72</v>
      </c>
      <c r="AS57">
        <v>890</v>
      </c>
      <c r="AT57" s="4">
        <v>42818</v>
      </c>
      <c r="AU57" t="s">
        <v>73</v>
      </c>
      <c r="AV57">
        <v>890</v>
      </c>
      <c r="AW57" s="4">
        <v>42818</v>
      </c>
      <c r="BD57">
        <v>260.74</v>
      </c>
      <c r="BN57" t="s">
        <v>74</v>
      </c>
    </row>
    <row r="58" spans="1:66">
      <c r="A58">
        <v>100065</v>
      </c>
      <c r="B58" t="s">
        <v>88</v>
      </c>
      <c r="C58" s="1">
        <v>43300101</v>
      </c>
      <c r="D58" t="s">
        <v>67</v>
      </c>
      <c r="H58" t="str">
        <f t="shared" si="7"/>
        <v>00082130592</v>
      </c>
      <c r="I58" t="str">
        <f t="shared" si="8"/>
        <v>01726510595</v>
      </c>
      <c r="K58" t="str">
        <f>""</f>
        <v/>
      </c>
      <c r="M58" t="s">
        <v>68</v>
      </c>
      <c r="N58" t="str">
        <f t="shared" si="5"/>
        <v>FOR</v>
      </c>
      <c r="O58" t="s">
        <v>69</v>
      </c>
      <c r="P58" t="s">
        <v>75</v>
      </c>
      <c r="Q58">
        <v>2016</v>
      </c>
      <c r="R58" s="4">
        <v>42534</v>
      </c>
      <c r="S58" s="2">
        <v>42551</v>
      </c>
      <c r="T58" s="2">
        <v>42550</v>
      </c>
      <c r="U58" s="4">
        <v>42610</v>
      </c>
      <c r="V58" t="s">
        <v>71</v>
      </c>
      <c r="W58" t="str">
        <f>"          2686029498"</f>
        <v xml:space="preserve">          2686029498</v>
      </c>
      <c r="X58" s="1">
        <v>2868.1</v>
      </c>
      <c r="Y58">
        <v>0</v>
      </c>
      <c r="Z58" s="5">
        <v>2607.36</v>
      </c>
      <c r="AA58" s="3">
        <v>208</v>
      </c>
      <c r="AB58" s="5">
        <v>542330.88</v>
      </c>
      <c r="AC58" s="1">
        <v>2607.36</v>
      </c>
      <c r="AD58">
        <v>208</v>
      </c>
      <c r="AE58" s="1">
        <v>542330.88</v>
      </c>
      <c r="AF58">
        <v>260.74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 s="2">
        <v>42831</v>
      </c>
      <c r="AQ58" t="s">
        <v>72</v>
      </c>
      <c r="AR58" t="s">
        <v>72</v>
      </c>
      <c r="AS58">
        <v>890</v>
      </c>
      <c r="AT58" s="4">
        <v>42818</v>
      </c>
      <c r="AU58" t="s">
        <v>73</v>
      </c>
      <c r="AV58">
        <v>890</v>
      </c>
      <c r="AW58" s="4">
        <v>42818</v>
      </c>
      <c r="BD58">
        <v>260.74</v>
      </c>
      <c r="BN58" t="s">
        <v>74</v>
      </c>
    </row>
    <row r="59" spans="1:66">
      <c r="A59">
        <v>100065</v>
      </c>
      <c r="B59" t="s">
        <v>88</v>
      </c>
      <c r="C59" s="1">
        <v>43300101</v>
      </c>
      <c r="D59" t="s">
        <v>67</v>
      </c>
      <c r="H59" t="str">
        <f t="shared" si="7"/>
        <v>00082130592</v>
      </c>
      <c r="I59" t="str">
        <f t="shared" si="8"/>
        <v>01726510595</v>
      </c>
      <c r="K59" t="str">
        <f>""</f>
        <v/>
      </c>
      <c r="M59" t="s">
        <v>68</v>
      </c>
      <c r="N59" t="str">
        <f t="shared" si="5"/>
        <v>FOR</v>
      </c>
      <c r="O59" t="s">
        <v>69</v>
      </c>
      <c r="P59" t="s">
        <v>75</v>
      </c>
      <c r="Q59">
        <v>2017</v>
      </c>
      <c r="R59" s="4">
        <v>42758</v>
      </c>
      <c r="S59" s="2">
        <v>42760</v>
      </c>
      <c r="T59" s="2">
        <v>42759</v>
      </c>
      <c r="U59" s="4">
        <v>42819</v>
      </c>
      <c r="V59" t="s">
        <v>71</v>
      </c>
      <c r="W59" t="str">
        <f>"          2687003939"</f>
        <v xml:space="preserve">          2687003939</v>
      </c>
      <c r="X59">
        <v>583</v>
      </c>
      <c r="Y59">
        <v>0</v>
      </c>
      <c r="Z59" s="5">
        <v>530</v>
      </c>
      <c r="AA59" s="3">
        <v>-1</v>
      </c>
      <c r="AB59" s="3">
        <v>-530</v>
      </c>
      <c r="AC59">
        <v>530</v>
      </c>
      <c r="AD59">
        <v>-1</v>
      </c>
      <c r="AE59">
        <v>-530</v>
      </c>
      <c r="AF59">
        <v>53</v>
      </c>
      <c r="AJ59">
        <v>583</v>
      </c>
      <c r="AK59">
        <v>583</v>
      </c>
      <c r="AL59">
        <v>583</v>
      </c>
      <c r="AM59">
        <v>583</v>
      </c>
      <c r="AN59">
        <v>583</v>
      </c>
      <c r="AO59">
        <v>583</v>
      </c>
      <c r="AP59" s="2">
        <v>42831</v>
      </c>
      <c r="AQ59" t="s">
        <v>72</v>
      </c>
      <c r="AR59" t="s">
        <v>72</v>
      </c>
      <c r="AS59">
        <v>890</v>
      </c>
      <c r="AT59" s="4">
        <v>42818</v>
      </c>
      <c r="AV59">
        <v>890</v>
      </c>
      <c r="AW59" s="4">
        <v>42818</v>
      </c>
      <c r="AX59">
        <v>53</v>
      </c>
      <c r="BD59">
        <v>0</v>
      </c>
      <c r="BN59" t="s">
        <v>74</v>
      </c>
    </row>
    <row r="60" spans="1:66">
      <c r="A60">
        <v>100066</v>
      </c>
      <c r="B60" t="s">
        <v>90</v>
      </c>
      <c r="C60" s="1">
        <v>43300101</v>
      </c>
      <c r="D60" t="s">
        <v>67</v>
      </c>
      <c r="H60" t="str">
        <f t="shared" ref="H60:H91" si="9">"04785851009"</f>
        <v>04785851009</v>
      </c>
      <c r="I60" t="str">
        <f t="shared" ref="I60:I91" si="10">"12268050155"</f>
        <v>12268050155</v>
      </c>
      <c r="K60" t="str">
        <f>""</f>
        <v/>
      </c>
      <c r="M60" t="s">
        <v>68</v>
      </c>
      <c r="N60" t="str">
        <f t="shared" si="5"/>
        <v>FOR</v>
      </c>
      <c r="O60" t="s">
        <v>69</v>
      </c>
      <c r="P60" t="s">
        <v>75</v>
      </c>
      <c r="Q60">
        <v>2016</v>
      </c>
      <c r="R60" s="4">
        <v>42473</v>
      </c>
      <c r="S60" s="2">
        <v>42478</v>
      </c>
      <c r="T60" s="2">
        <v>42474</v>
      </c>
      <c r="U60" s="4">
        <v>42534</v>
      </c>
      <c r="V60" t="s">
        <v>71</v>
      </c>
      <c r="W60" t="str">
        <f>"          1010939959"</f>
        <v xml:space="preserve">          1010939959</v>
      </c>
      <c r="X60" s="1">
        <v>3647.8</v>
      </c>
      <c r="Y60">
        <v>0</v>
      </c>
      <c r="Z60" s="5">
        <v>2990</v>
      </c>
      <c r="AA60" s="3">
        <v>238</v>
      </c>
      <c r="AB60" s="5">
        <v>711620</v>
      </c>
      <c r="AC60" s="1">
        <v>2990</v>
      </c>
      <c r="AD60">
        <v>238</v>
      </c>
      <c r="AE60" s="1">
        <v>711620</v>
      </c>
      <c r="AF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 s="2">
        <v>42831</v>
      </c>
      <c r="AQ60" t="s">
        <v>72</v>
      </c>
      <c r="AR60" t="s">
        <v>72</v>
      </c>
      <c r="AS60">
        <v>298</v>
      </c>
      <c r="AT60" s="4">
        <v>42772</v>
      </c>
      <c r="AU60" t="s">
        <v>73</v>
      </c>
      <c r="AV60">
        <v>298</v>
      </c>
      <c r="AW60" s="4">
        <v>42772</v>
      </c>
      <c r="BD60">
        <v>0</v>
      </c>
      <c r="BN60" t="s">
        <v>74</v>
      </c>
    </row>
    <row r="61" spans="1:66">
      <c r="A61">
        <v>100066</v>
      </c>
      <c r="B61" t="s">
        <v>90</v>
      </c>
      <c r="C61" s="1">
        <v>43300101</v>
      </c>
      <c r="D61" t="s">
        <v>67</v>
      </c>
      <c r="H61" t="str">
        <f t="shared" si="9"/>
        <v>04785851009</v>
      </c>
      <c r="I61" t="str">
        <f t="shared" si="10"/>
        <v>12268050155</v>
      </c>
      <c r="K61" t="str">
        <f>""</f>
        <v/>
      </c>
      <c r="M61" t="s">
        <v>68</v>
      </c>
      <c r="N61" t="str">
        <f t="shared" si="5"/>
        <v>FOR</v>
      </c>
      <c r="O61" t="s">
        <v>69</v>
      </c>
      <c r="P61" t="s">
        <v>75</v>
      </c>
      <c r="Q61">
        <v>2016</v>
      </c>
      <c r="R61" s="4">
        <v>42474</v>
      </c>
      <c r="S61" s="2">
        <v>42478</v>
      </c>
      <c r="T61" s="2">
        <v>42475</v>
      </c>
      <c r="U61" s="4">
        <v>42535</v>
      </c>
      <c r="V61" t="s">
        <v>71</v>
      </c>
      <c r="W61" t="str">
        <f>"          1010940152"</f>
        <v xml:space="preserve">          1010940152</v>
      </c>
      <c r="X61" s="1">
        <v>1281</v>
      </c>
      <c r="Y61">
        <v>0</v>
      </c>
      <c r="Z61" s="5">
        <v>1050</v>
      </c>
      <c r="AA61" s="3">
        <v>237</v>
      </c>
      <c r="AB61" s="5">
        <v>248850</v>
      </c>
      <c r="AC61" s="1">
        <v>1050</v>
      </c>
      <c r="AD61">
        <v>237</v>
      </c>
      <c r="AE61" s="1">
        <v>248850</v>
      </c>
      <c r="AF61">
        <v>0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 s="2">
        <v>42831</v>
      </c>
      <c r="AQ61" t="s">
        <v>72</v>
      </c>
      <c r="AR61" t="s">
        <v>72</v>
      </c>
      <c r="AS61">
        <v>298</v>
      </c>
      <c r="AT61" s="4">
        <v>42772</v>
      </c>
      <c r="AU61" t="s">
        <v>73</v>
      </c>
      <c r="AV61">
        <v>298</v>
      </c>
      <c r="AW61" s="4">
        <v>42772</v>
      </c>
      <c r="BD61">
        <v>0</v>
      </c>
      <c r="BN61" t="s">
        <v>74</v>
      </c>
    </row>
    <row r="62" spans="1:66">
      <c r="A62">
        <v>100066</v>
      </c>
      <c r="B62" t="s">
        <v>90</v>
      </c>
      <c r="C62" s="1">
        <v>43300101</v>
      </c>
      <c r="D62" t="s">
        <v>67</v>
      </c>
      <c r="H62" t="str">
        <f t="shared" si="9"/>
        <v>04785851009</v>
      </c>
      <c r="I62" t="str">
        <f t="shared" si="10"/>
        <v>12268050155</v>
      </c>
      <c r="K62" t="str">
        <f>""</f>
        <v/>
      </c>
      <c r="M62" t="s">
        <v>68</v>
      </c>
      <c r="N62" t="str">
        <f t="shared" si="5"/>
        <v>FOR</v>
      </c>
      <c r="O62" t="s">
        <v>69</v>
      </c>
      <c r="P62" t="s">
        <v>75</v>
      </c>
      <c r="Q62">
        <v>2016</v>
      </c>
      <c r="R62" s="4">
        <v>42478</v>
      </c>
      <c r="S62" s="2">
        <v>42481</v>
      </c>
      <c r="T62" s="2">
        <v>42479</v>
      </c>
      <c r="U62" s="4">
        <v>42539</v>
      </c>
      <c r="V62" t="s">
        <v>71</v>
      </c>
      <c r="W62" t="str">
        <f>"          1010940569"</f>
        <v xml:space="preserve">          1010940569</v>
      </c>
      <c r="X62" s="1">
        <v>6832</v>
      </c>
      <c r="Y62">
        <v>0</v>
      </c>
      <c r="Z62" s="5">
        <v>5600</v>
      </c>
      <c r="AA62" s="3">
        <v>233</v>
      </c>
      <c r="AB62" s="5">
        <v>1304800</v>
      </c>
      <c r="AC62" s="1">
        <v>5600</v>
      </c>
      <c r="AD62">
        <v>233</v>
      </c>
      <c r="AE62" s="1">
        <v>1304800</v>
      </c>
      <c r="AF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 s="2">
        <v>42831</v>
      </c>
      <c r="AQ62" t="s">
        <v>72</v>
      </c>
      <c r="AR62" t="s">
        <v>72</v>
      </c>
      <c r="AS62">
        <v>298</v>
      </c>
      <c r="AT62" s="4">
        <v>42772</v>
      </c>
      <c r="AU62" t="s">
        <v>73</v>
      </c>
      <c r="AV62">
        <v>298</v>
      </c>
      <c r="AW62" s="4">
        <v>42772</v>
      </c>
      <c r="BD62">
        <v>0</v>
      </c>
      <c r="BN62" t="s">
        <v>74</v>
      </c>
    </row>
    <row r="63" spans="1:66">
      <c r="A63">
        <v>100066</v>
      </c>
      <c r="B63" t="s">
        <v>90</v>
      </c>
      <c r="C63" s="1">
        <v>43300101</v>
      </c>
      <c r="D63" t="s">
        <v>67</v>
      </c>
      <c r="H63" t="str">
        <f t="shared" si="9"/>
        <v>04785851009</v>
      </c>
      <c r="I63" t="str">
        <f t="shared" si="10"/>
        <v>12268050155</v>
      </c>
      <c r="K63" t="str">
        <f>""</f>
        <v/>
      </c>
      <c r="M63" t="s">
        <v>68</v>
      </c>
      <c r="N63" t="str">
        <f t="shared" si="5"/>
        <v>FOR</v>
      </c>
      <c r="O63" t="s">
        <v>69</v>
      </c>
      <c r="P63" t="s">
        <v>75</v>
      </c>
      <c r="Q63">
        <v>2016</v>
      </c>
      <c r="R63" s="4">
        <v>42479</v>
      </c>
      <c r="S63" s="2">
        <v>42481</v>
      </c>
      <c r="T63" s="2">
        <v>42480</v>
      </c>
      <c r="U63" s="4">
        <v>42540</v>
      </c>
      <c r="V63" t="s">
        <v>71</v>
      </c>
      <c r="W63" t="str">
        <f>"          1010940854"</f>
        <v xml:space="preserve">          1010940854</v>
      </c>
      <c r="X63" s="1">
        <v>2229.1799999999998</v>
      </c>
      <c r="Y63">
        <v>0</v>
      </c>
      <c r="Z63" s="5">
        <v>1827.2</v>
      </c>
      <c r="AA63" s="3">
        <v>232</v>
      </c>
      <c r="AB63" s="5">
        <v>423910.40000000002</v>
      </c>
      <c r="AC63" s="1">
        <v>1827.2</v>
      </c>
      <c r="AD63">
        <v>232</v>
      </c>
      <c r="AE63" s="1">
        <v>423910.40000000002</v>
      </c>
      <c r="AF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 s="2">
        <v>42831</v>
      </c>
      <c r="AQ63" t="s">
        <v>72</v>
      </c>
      <c r="AR63" t="s">
        <v>72</v>
      </c>
      <c r="AS63">
        <v>298</v>
      </c>
      <c r="AT63" s="4">
        <v>42772</v>
      </c>
      <c r="AU63" t="s">
        <v>73</v>
      </c>
      <c r="AV63">
        <v>298</v>
      </c>
      <c r="AW63" s="4">
        <v>42772</v>
      </c>
      <c r="BD63">
        <v>0</v>
      </c>
      <c r="BN63" t="s">
        <v>74</v>
      </c>
    </row>
    <row r="64" spans="1:66">
      <c r="A64">
        <v>100066</v>
      </c>
      <c r="B64" t="s">
        <v>90</v>
      </c>
      <c r="C64" s="1">
        <v>43300101</v>
      </c>
      <c r="D64" t="s">
        <v>67</v>
      </c>
      <c r="H64" t="str">
        <f t="shared" si="9"/>
        <v>04785851009</v>
      </c>
      <c r="I64" t="str">
        <f t="shared" si="10"/>
        <v>12268050155</v>
      </c>
      <c r="K64" t="str">
        <f>""</f>
        <v/>
      </c>
      <c r="M64" t="s">
        <v>68</v>
      </c>
      <c r="N64" t="str">
        <f t="shared" si="5"/>
        <v>FOR</v>
      </c>
      <c r="O64" t="s">
        <v>69</v>
      </c>
      <c r="P64" t="s">
        <v>75</v>
      </c>
      <c r="Q64">
        <v>2016</v>
      </c>
      <c r="R64" s="4">
        <v>42481</v>
      </c>
      <c r="S64" s="2">
        <v>42482</v>
      </c>
      <c r="T64" s="2">
        <v>42482</v>
      </c>
      <c r="U64" s="4">
        <v>42542</v>
      </c>
      <c r="V64" t="s">
        <v>71</v>
      </c>
      <c r="W64" t="str">
        <f>"          1010941302"</f>
        <v xml:space="preserve">          1010941302</v>
      </c>
      <c r="X64">
        <v>512.4</v>
      </c>
      <c r="Y64">
        <v>0</v>
      </c>
      <c r="Z64" s="5">
        <v>420</v>
      </c>
      <c r="AA64" s="3">
        <v>230</v>
      </c>
      <c r="AB64" s="5">
        <v>96600</v>
      </c>
      <c r="AC64">
        <v>420</v>
      </c>
      <c r="AD64">
        <v>230</v>
      </c>
      <c r="AE64" s="1">
        <v>96600</v>
      </c>
      <c r="AF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 s="2">
        <v>42831</v>
      </c>
      <c r="AQ64" t="s">
        <v>72</v>
      </c>
      <c r="AR64" t="s">
        <v>72</v>
      </c>
      <c r="AS64">
        <v>298</v>
      </c>
      <c r="AT64" s="4">
        <v>42772</v>
      </c>
      <c r="AU64" t="s">
        <v>73</v>
      </c>
      <c r="AV64">
        <v>298</v>
      </c>
      <c r="AW64" s="4">
        <v>42772</v>
      </c>
      <c r="BD64">
        <v>0</v>
      </c>
      <c r="BN64" t="s">
        <v>74</v>
      </c>
    </row>
    <row r="65" spans="1:66">
      <c r="A65">
        <v>100066</v>
      </c>
      <c r="B65" t="s">
        <v>90</v>
      </c>
      <c r="C65" s="1">
        <v>43300101</v>
      </c>
      <c r="D65" t="s">
        <v>67</v>
      </c>
      <c r="H65" t="str">
        <f t="shared" si="9"/>
        <v>04785851009</v>
      </c>
      <c r="I65" t="str">
        <f t="shared" si="10"/>
        <v>12268050155</v>
      </c>
      <c r="K65" t="str">
        <f>""</f>
        <v/>
      </c>
      <c r="M65" t="s">
        <v>68</v>
      </c>
      <c r="N65" t="str">
        <f t="shared" si="5"/>
        <v>FOR</v>
      </c>
      <c r="O65" t="s">
        <v>69</v>
      </c>
      <c r="P65" t="s">
        <v>75</v>
      </c>
      <c r="Q65">
        <v>2016</v>
      </c>
      <c r="R65" s="4">
        <v>42485</v>
      </c>
      <c r="S65" s="2">
        <v>42487</v>
      </c>
      <c r="T65" s="2">
        <v>42486</v>
      </c>
      <c r="U65" s="4">
        <v>42546</v>
      </c>
      <c r="V65" t="s">
        <v>71</v>
      </c>
      <c r="W65" t="str">
        <f>"          1010941533"</f>
        <v xml:space="preserve">          1010941533</v>
      </c>
      <c r="X65" s="1">
        <v>30116.92</v>
      </c>
      <c r="Y65">
        <v>0</v>
      </c>
      <c r="Z65" s="5">
        <v>24686</v>
      </c>
      <c r="AA65" s="3">
        <v>226</v>
      </c>
      <c r="AB65" s="5">
        <v>5579036</v>
      </c>
      <c r="AC65" s="1">
        <v>24686</v>
      </c>
      <c r="AD65">
        <v>226</v>
      </c>
      <c r="AE65" s="1">
        <v>5579036</v>
      </c>
      <c r="AF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 s="2">
        <v>42831</v>
      </c>
      <c r="AQ65" t="s">
        <v>72</v>
      </c>
      <c r="AR65" t="s">
        <v>72</v>
      </c>
      <c r="AS65">
        <v>298</v>
      </c>
      <c r="AT65" s="4">
        <v>42772</v>
      </c>
      <c r="AU65" t="s">
        <v>73</v>
      </c>
      <c r="AV65">
        <v>298</v>
      </c>
      <c r="AW65" s="4">
        <v>42772</v>
      </c>
      <c r="BD65">
        <v>0</v>
      </c>
      <c r="BN65" t="s">
        <v>74</v>
      </c>
    </row>
    <row r="66" spans="1:66">
      <c r="A66">
        <v>100066</v>
      </c>
      <c r="B66" t="s">
        <v>90</v>
      </c>
      <c r="C66" s="1">
        <v>43300101</v>
      </c>
      <c r="D66" t="s">
        <v>67</v>
      </c>
      <c r="H66" t="str">
        <f t="shared" si="9"/>
        <v>04785851009</v>
      </c>
      <c r="I66" t="str">
        <f t="shared" si="10"/>
        <v>12268050155</v>
      </c>
      <c r="K66" t="str">
        <f>""</f>
        <v/>
      </c>
      <c r="M66" t="s">
        <v>68</v>
      </c>
      <c r="N66" t="str">
        <f t="shared" si="5"/>
        <v>FOR</v>
      </c>
      <c r="O66" t="s">
        <v>69</v>
      </c>
      <c r="P66" t="s">
        <v>75</v>
      </c>
      <c r="Q66">
        <v>2016</v>
      </c>
      <c r="R66" s="4">
        <v>42485</v>
      </c>
      <c r="S66" s="2">
        <v>42487</v>
      </c>
      <c r="T66" s="2">
        <v>42486</v>
      </c>
      <c r="U66" s="4">
        <v>42546</v>
      </c>
      <c r="V66" t="s">
        <v>71</v>
      </c>
      <c r="W66" t="str">
        <f>"          1010941534"</f>
        <v xml:space="preserve">          1010941534</v>
      </c>
      <c r="X66" s="1">
        <v>3343.78</v>
      </c>
      <c r="Y66">
        <v>0</v>
      </c>
      <c r="Z66" s="5">
        <v>2740.8</v>
      </c>
      <c r="AA66" s="3">
        <v>226</v>
      </c>
      <c r="AB66" s="5">
        <v>619420.80000000005</v>
      </c>
      <c r="AC66" s="1">
        <v>2740.8</v>
      </c>
      <c r="AD66">
        <v>226</v>
      </c>
      <c r="AE66" s="1">
        <v>619420.80000000005</v>
      </c>
      <c r="AF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 s="2">
        <v>42831</v>
      </c>
      <c r="AQ66" t="s">
        <v>72</v>
      </c>
      <c r="AR66" t="s">
        <v>72</v>
      </c>
      <c r="AS66">
        <v>298</v>
      </c>
      <c r="AT66" s="4">
        <v>42772</v>
      </c>
      <c r="AU66" t="s">
        <v>73</v>
      </c>
      <c r="AV66">
        <v>298</v>
      </c>
      <c r="AW66" s="4">
        <v>42772</v>
      </c>
      <c r="BD66">
        <v>0</v>
      </c>
      <c r="BN66" t="s">
        <v>74</v>
      </c>
    </row>
    <row r="67" spans="1:66">
      <c r="A67">
        <v>100066</v>
      </c>
      <c r="B67" t="s">
        <v>90</v>
      </c>
      <c r="C67" s="1">
        <v>43300101</v>
      </c>
      <c r="D67" t="s">
        <v>67</v>
      </c>
      <c r="H67" t="str">
        <f t="shared" si="9"/>
        <v>04785851009</v>
      </c>
      <c r="I67" t="str">
        <f t="shared" si="10"/>
        <v>12268050155</v>
      </c>
      <c r="K67" t="str">
        <f>""</f>
        <v/>
      </c>
      <c r="M67" t="s">
        <v>68</v>
      </c>
      <c r="N67" t="str">
        <f t="shared" si="5"/>
        <v>FOR</v>
      </c>
      <c r="O67" t="s">
        <v>69</v>
      </c>
      <c r="P67" t="s">
        <v>75</v>
      </c>
      <c r="Q67">
        <v>2016</v>
      </c>
      <c r="R67" s="4">
        <v>42485</v>
      </c>
      <c r="S67" s="2">
        <v>42487</v>
      </c>
      <c r="T67" s="2">
        <v>42486</v>
      </c>
      <c r="U67" s="4">
        <v>42546</v>
      </c>
      <c r="V67" t="s">
        <v>71</v>
      </c>
      <c r="W67" t="str">
        <f>"          1010941535"</f>
        <v xml:space="preserve">          1010941535</v>
      </c>
      <c r="X67" s="1">
        <v>40543.040000000001</v>
      </c>
      <c r="Y67">
        <v>0</v>
      </c>
      <c r="Z67" s="5">
        <v>33232</v>
      </c>
      <c r="AA67" s="3">
        <v>226</v>
      </c>
      <c r="AB67" s="5">
        <v>7510432</v>
      </c>
      <c r="AC67" s="1">
        <v>33232</v>
      </c>
      <c r="AD67">
        <v>226</v>
      </c>
      <c r="AE67" s="1">
        <v>7510432</v>
      </c>
      <c r="AF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 s="2">
        <v>42831</v>
      </c>
      <c r="AQ67" t="s">
        <v>72</v>
      </c>
      <c r="AR67" t="s">
        <v>72</v>
      </c>
      <c r="AS67">
        <v>298</v>
      </c>
      <c r="AT67" s="4">
        <v>42772</v>
      </c>
      <c r="AU67" t="s">
        <v>73</v>
      </c>
      <c r="AV67">
        <v>298</v>
      </c>
      <c r="AW67" s="4">
        <v>42772</v>
      </c>
      <c r="BD67">
        <v>0</v>
      </c>
      <c r="BN67" t="s">
        <v>74</v>
      </c>
    </row>
    <row r="68" spans="1:66">
      <c r="A68">
        <v>100066</v>
      </c>
      <c r="B68" t="s">
        <v>90</v>
      </c>
      <c r="C68" s="1">
        <v>43300101</v>
      </c>
      <c r="D68" t="s">
        <v>67</v>
      </c>
      <c r="H68" t="str">
        <f t="shared" si="9"/>
        <v>04785851009</v>
      </c>
      <c r="I68" t="str">
        <f t="shared" si="10"/>
        <v>12268050155</v>
      </c>
      <c r="K68" t="str">
        <f>""</f>
        <v/>
      </c>
      <c r="M68" t="s">
        <v>68</v>
      </c>
      <c r="N68" t="str">
        <f t="shared" si="5"/>
        <v>FOR</v>
      </c>
      <c r="O68" t="s">
        <v>69</v>
      </c>
      <c r="P68" t="s">
        <v>75</v>
      </c>
      <c r="Q68">
        <v>2016</v>
      </c>
      <c r="R68" s="4">
        <v>42485</v>
      </c>
      <c r="S68" s="2">
        <v>42487</v>
      </c>
      <c r="T68" s="2">
        <v>42486</v>
      </c>
      <c r="U68" s="4">
        <v>42546</v>
      </c>
      <c r="V68" t="s">
        <v>71</v>
      </c>
      <c r="W68" t="str">
        <f>"          1010941536"</f>
        <v xml:space="preserve">          1010941536</v>
      </c>
      <c r="X68" s="1">
        <v>8296</v>
      </c>
      <c r="Y68">
        <v>0</v>
      </c>
      <c r="Z68" s="5">
        <v>6800</v>
      </c>
      <c r="AA68" s="3">
        <v>226</v>
      </c>
      <c r="AB68" s="5">
        <v>1536800</v>
      </c>
      <c r="AC68" s="1">
        <v>6800</v>
      </c>
      <c r="AD68">
        <v>226</v>
      </c>
      <c r="AE68" s="1">
        <v>1536800</v>
      </c>
      <c r="AF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 s="2">
        <v>42831</v>
      </c>
      <c r="AQ68" t="s">
        <v>72</v>
      </c>
      <c r="AR68" t="s">
        <v>72</v>
      </c>
      <c r="AS68">
        <v>298</v>
      </c>
      <c r="AT68" s="4">
        <v>42772</v>
      </c>
      <c r="AU68" t="s">
        <v>73</v>
      </c>
      <c r="AV68">
        <v>298</v>
      </c>
      <c r="AW68" s="4">
        <v>42772</v>
      </c>
      <c r="BD68">
        <v>0</v>
      </c>
      <c r="BN68" t="s">
        <v>74</v>
      </c>
    </row>
    <row r="69" spans="1:66">
      <c r="A69">
        <v>100066</v>
      </c>
      <c r="B69" t="s">
        <v>90</v>
      </c>
      <c r="C69" s="1">
        <v>43300101</v>
      </c>
      <c r="D69" t="s">
        <v>67</v>
      </c>
      <c r="H69" t="str">
        <f t="shared" si="9"/>
        <v>04785851009</v>
      </c>
      <c r="I69" t="str">
        <f t="shared" si="10"/>
        <v>12268050155</v>
      </c>
      <c r="K69" t="str">
        <f>""</f>
        <v/>
      </c>
      <c r="M69" t="s">
        <v>68</v>
      </c>
      <c r="N69" t="str">
        <f t="shared" si="5"/>
        <v>FOR</v>
      </c>
      <c r="O69" t="s">
        <v>69</v>
      </c>
      <c r="P69" t="s">
        <v>75</v>
      </c>
      <c r="Q69">
        <v>2016</v>
      </c>
      <c r="R69" s="4">
        <v>42485</v>
      </c>
      <c r="S69" s="2">
        <v>42486</v>
      </c>
      <c r="T69" s="2">
        <v>42486</v>
      </c>
      <c r="U69" s="4">
        <v>42546</v>
      </c>
      <c r="V69" t="s">
        <v>71</v>
      </c>
      <c r="W69" t="str">
        <f>"          1010941711"</f>
        <v xml:space="preserve">          1010941711</v>
      </c>
      <c r="X69" s="1">
        <v>4066.66</v>
      </c>
      <c r="Y69">
        <v>0</v>
      </c>
      <c r="Z69" s="5">
        <v>3333.33</v>
      </c>
      <c r="AA69" s="3">
        <v>226</v>
      </c>
      <c r="AB69" s="5">
        <v>753332.58</v>
      </c>
      <c r="AC69" s="1">
        <v>3333.33</v>
      </c>
      <c r="AD69">
        <v>226</v>
      </c>
      <c r="AE69" s="1">
        <v>753332.58</v>
      </c>
      <c r="AF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 s="2">
        <v>42831</v>
      </c>
      <c r="AQ69" t="s">
        <v>72</v>
      </c>
      <c r="AR69" t="s">
        <v>72</v>
      </c>
      <c r="AS69">
        <v>298</v>
      </c>
      <c r="AT69" s="4">
        <v>42772</v>
      </c>
      <c r="AU69" t="s">
        <v>73</v>
      </c>
      <c r="AV69">
        <v>298</v>
      </c>
      <c r="AW69" s="4">
        <v>42772</v>
      </c>
      <c r="BD69">
        <v>0</v>
      </c>
      <c r="BN69" t="s">
        <v>74</v>
      </c>
    </row>
    <row r="70" spans="1:66">
      <c r="A70">
        <v>100066</v>
      </c>
      <c r="B70" t="s">
        <v>90</v>
      </c>
      <c r="C70" s="1">
        <v>43300101</v>
      </c>
      <c r="D70" t="s">
        <v>67</v>
      </c>
      <c r="H70" t="str">
        <f t="shared" si="9"/>
        <v>04785851009</v>
      </c>
      <c r="I70" t="str">
        <f t="shared" si="10"/>
        <v>12268050155</v>
      </c>
      <c r="K70" t="str">
        <f>""</f>
        <v/>
      </c>
      <c r="M70" t="s">
        <v>68</v>
      </c>
      <c r="N70" t="str">
        <f t="shared" si="5"/>
        <v>FOR</v>
      </c>
      <c r="O70" t="s">
        <v>69</v>
      </c>
      <c r="P70" t="s">
        <v>75</v>
      </c>
      <c r="Q70">
        <v>2016</v>
      </c>
      <c r="R70" s="4">
        <v>42485</v>
      </c>
      <c r="S70" s="2">
        <v>42486</v>
      </c>
      <c r="T70" s="2">
        <v>42486</v>
      </c>
      <c r="U70" s="4">
        <v>42546</v>
      </c>
      <c r="V70" t="s">
        <v>71</v>
      </c>
      <c r="W70" t="str">
        <f>"          1010941712"</f>
        <v xml:space="preserve">          1010941712</v>
      </c>
      <c r="X70">
        <v>546.23</v>
      </c>
      <c r="Y70">
        <v>0</v>
      </c>
      <c r="Z70" s="5">
        <v>447.73</v>
      </c>
      <c r="AA70" s="3">
        <v>226</v>
      </c>
      <c r="AB70" s="5">
        <v>101186.98</v>
      </c>
      <c r="AC70">
        <v>447.73</v>
      </c>
      <c r="AD70">
        <v>226</v>
      </c>
      <c r="AE70" s="1">
        <v>101186.98</v>
      </c>
      <c r="AF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 s="2">
        <v>42831</v>
      </c>
      <c r="AQ70" t="s">
        <v>72</v>
      </c>
      <c r="AR70" t="s">
        <v>72</v>
      </c>
      <c r="AS70">
        <v>298</v>
      </c>
      <c r="AT70" s="4">
        <v>42772</v>
      </c>
      <c r="AU70" t="s">
        <v>73</v>
      </c>
      <c r="AV70">
        <v>298</v>
      </c>
      <c r="AW70" s="4">
        <v>42772</v>
      </c>
      <c r="BD70">
        <v>0</v>
      </c>
      <c r="BN70" t="s">
        <v>74</v>
      </c>
    </row>
    <row r="71" spans="1:66">
      <c r="A71">
        <v>100066</v>
      </c>
      <c r="B71" t="s">
        <v>90</v>
      </c>
      <c r="C71" s="1">
        <v>43300101</v>
      </c>
      <c r="D71" t="s">
        <v>67</v>
      </c>
      <c r="H71" t="str">
        <f t="shared" si="9"/>
        <v>04785851009</v>
      </c>
      <c r="I71" t="str">
        <f t="shared" si="10"/>
        <v>12268050155</v>
      </c>
      <c r="K71" t="str">
        <f>""</f>
        <v/>
      </c>
      <c r="M71" t="s">
        <v>68</v>
      </c>
      <c r="N71" t="str">
        <f t="shared" si="5"/>
        <v>FOR</v>
      </c>
      <c r="O71" t="s">
        <v>69</v>
      </c>
      <c r="P71" t="s">
        <v>75</v>
      </c>
      <c r="Q71">
        <v>2016</v>
      </c>
      <c r="R71" s="4">
        <v>42486</v>
      </c>
      <c r="S71" s="2">
        <v>42488</v>
      </c>
      <c r="T71" s="2">
        <v>42487</v>
      </c>
      <c r="U71" s="4">
        <v>42547</v>
      </c>
      <c r="V71" t="s">
        <v>71</v>
      </c>
      <c r="W71" t="str">
        <f>"          1010941799"</f>
        <v xml:space="preserve">          1010941799</v>
      </c>
      <c r="X71">
        <v>768.6</v>
      </c>
      <c r="Y71">
        <v>0</v>
      </c>
      <c r="Z71" s="5">
        <v>630</v>
      </c>
      <c r="AA71" s="3">
        <v>225</v>
      </c>
      <c r="AB71" s="5">
        <v>141750</v>
      </c>
      <c r="AC71">
        <v>630</v>
      </c>
      <c r="AD71">
        <v>225</v>
      </c>
      <c r="AE71" s="1">
        <v>141750</v>
      </c>
      <c r="AF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 s="2">
        <v>42831</v>
      </c>
      <c r="AQ71" t="s">
        <v>72</v>
      </c>
      <c r="AR71" t="s">
        <v>72</v>
      </c>
      <c r="AS71">
        <v>298</v>
      </c>
      <c r="AT71" s="4">
        <v>42772</v>
      </c>
      <c r="AU71" t="s">
        <v>73</v>
      </c>
      <c r="AV71">
        <v>298</v>
      </c>
      <c r="AW71" s="4">
        <v>42772</v>
      </c>
      <c r="BD71">
        <v>0</v>
      </c>
      <c r="BN71" t="s">
        <v>74</v>
      </c>
    </row>
    <row r="72" spans="1:66">
      <c r="A72">
        <v>100066</v>
      </c>
      <c r="B72" t="s">
        <v>90</v>
      </c>
      <c r="C72" s="1">
        <v>43300101</v>
      </c>
      <c r="D72" t="s">
        <v>67</v>
      </c>
      <c r="H72" t="str">
        <f t="shared" si="9"/>
        <v>04785851009</v>
      </c>
      <c r="I72" t="str">
        <f t="shared" si="10"/>
        <v>12268050155</v>
      </c>
      <c r="K72" t="str">
        <f>""</f>
        <v/>
      </c>
      <c r="M72" t="s">
        <v>68</v>
      </c>
      <c r="N72" t="str">
        <f t="shared" si="5"/>
        <v>FOR</v>
      </c>
      <c r="O72" t="s">
        <v>69</v>
      </c>
      <c r="P72" t="s">
        <v>75</v>
      </c>
      <c r="Q72">
        <v>2016</v>
      </c>
      <c r="R72" s="4">
        <v>42486</v>
      </c>
      <c r="S72" s="2">
        <v>42488</v>
      </c>
      <c r="T72" s="2">
        <v>42487</v>
      </c>
      <c r="U72" s="4">
        <v>42547</v>
      </c>
      <c r="V72" t="s">
        <v>71</v>
      </c>
      <c r="W72" t="str">
        <f>"          1010941800"</f>
        <v xml:space="preserve">          1010941800</v>
      </c>
      <c r="X72" s="1">
        <v>3660</v>
      </c>
      <c r="Y72">
        <v>0</v>
      </c>
      <c r="Z72" s="5">
        <v>3000</v>
      </c>
      <c r="AA72" s="3">
        <v>225</v>
      </c>
      <c r="AB72" s="5">
        <v>675000</v>
      </c>
      <c r="AC72" s="1">
        <v>3000</v>
      </c>
      <c r="AD72">
        <v>225</v>
      </c>
      <c r="AE72" s="1">
        <v>675000</v>
      </c>
      <c r="AF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 s="2">
        <v>42831</v>
      </c>
      <c r="AQ72" t="s">
        <v>72</v>
      </c>
      <c r="AR72" t="s">
        <v>72</v>
      </c>
      <c r="AS72">
        <v>298</v>
      </c>
      <c r="AT72" s="4">
        <v>42772</v>
      </c>
      <c r="AU72" t="s">
        <v>73</v>
      </c>
      <c r="AV72">
        <v>298</v>
      </c>
      <c r="AW72" s="4">
        <v>42772</v>
      </c>
      <c r="BD72">
        <v>0</v>
      </c>
      <c r="BN72" t="s">
        <v>74</v>
      </c>
    </row>
    <row r="73" spans="1:66">
      <c r="A73">
        <v>100066</v>
      </c>
      <c r="B73" t="s">
        <v>90</v>
      </c>
      <c r="C73" s="1">
        <v>43300101</v>
      </c>
      <c r="D73" t="s">
        <v>67</v>
      </c>
      <c r="H73" t="str">
        <f t="shared" si="9"/>
        <v>04785851009</v>
      </c>
      <c r="I73" t="str">
        <f t="shared" si="10"/>
        <v>12268050155</v>
      </c>
      <c r="K73" t="str">
        <f>""</f>
        <v/>
      </c>
      <c r="M73" t="s">
        <v>68</v>
      </c>
      <c r="N73" t="str">
        <f t="shared" si="5"/>
        <v>FOR</v>
      </c>
      <c r="O73" t="s">
        <v>69</v>
      </c>
      <c r="P73" t="s">
        <v>75</v>
      </c>
      <c r="Q73">
        <v>2016</v>
      </c>
      <c r="R73" s="4">
        <v>42487</v>
      </c>
      <c r="S73" s="2">
        <v>42492</v>
      </c>
      <c r="T73" s="2">
        <v>42488</v>
      </c>
      <c r="U73" s="4">
        <v>42548</v>
      </c>
      <c r="V73" t="s">
        <v>71</v>
      </c>
      <c r="W73" t="str">
        <f>"          1010942020"</f>
        <v xml:space="preserve">          1010942020</v>
      </c>
      <c r="X73" s="1">
        <v>5465.6</v>
      </c>
      <c r="Y73">
        <v>0</v>
      </c>
      <c r="Z73" s="5">
        <v>4480</v>
      </c>
      <c r="AA73" s="3">
        <v>224</v>
      </c>
      <c r="AB73" s="5">
        <v>1003520</v>
      </c>
      <c r="AC73" s="1">
        <v>4480</v>
      </c>
      <c r="AD73">
        <v>224</v>
      </c>
      <c r="AE73" s="1">
        <v>1003520</v>
      </c>
      <c r="AF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 s="2">
        <v>42831</v>
      </c>
      <c r="AQ73" t="s">
        <v>72</v>
      </c>
      <c r="AR73" t="s">
        <v>72</v>
      </c>
      <c r="AS73">
        <v>298</v>
      </c>
      <c r="AT73" s="4">
        <v>42772</v>
      </c>
      <c r="AU73" t="s">
        <v>73</v>
      </c>
      <c r="AV73">
        <v>298</v>
      </c>
      <c r="AW73" s="4">
        <v>42772</v>
      </c>
      <c r="BD73">
        <v>0</v>
      </c>
      <c r="BN73" t="s">
        <v>74</v>
      </c>
    </row>
    <row r="74" spans="1:66">
      <c r="A74">
        <v>100066</v>
      </c>
      <c r="B74" t="s">
        <v>90</v>
      </c>
      <c r="C74" s="1">
        <v>43300101</v>
      </c>
      <c r="D74" t="s">
        <v>67</v>
      </c>
      <c r="H74" t="str">
        <f t="shared" si="9"/>
        <v>04785851009</v>
      </c>
      <c r="I74" t="str">
        <f t="shared" si="10"/>
        <v>12268050155</v>
      </c>
      <c r="K74" t="str">
        <f>""</f>
        <v/>
      </c>
      <c r="M74" t="s">
        <v>68</v>
      </c>
      <c r="N74" t="str">
        <f t="shared" si="5"/>
        <v>FOR</v>
      </c>
      <c r="O74" t="s">
        <v>69</v>
      </c>
      <c r="P74" t="s">
        <v>75</v>
      </c>
      <c r="Q74">
        <v>2016</v>
      </c>
      <c r="R74" s="4">
        <v>42487</v>
      </c>
      <c r="S74" s="2">
        <v>42492</v>
      </c>
      <c r="T74" s="2">
        <v>42488</v>
      </c>
      <c r="U74" s="4">
        <v>42548</v>
      </c>
      <c r="V74" t="s">
        <v>71</v>
      </c>
      <c r="W74" t="str">
        <f>"          1010942021"</f>
        <v xml:space="preserve">          1010942021</v>
      </c>
      <c r="X74" s="1">
        <v>3660</v>
      </c>
      <c r="Y74">
        <v>0</v>
      </c>
      <c r="Z74" s="5">
        <v>3000</v>
      </c>
      <c r="AA74" s="3">
        <v>224</v>
      </c>
      <c r="AB74" s="5">
        <v>672000</v>
      </c>
      <c r="AC74" s="1">
        <v>3000</v>
      </c>
      <c r="AD74">
        <v>224</v>
      </c>
      <c r="AE74" s="1">
        <v>672000</v>
      </c>
      <c r="AF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 s="2">
        <v>42831</v>
      </c>
      <c r="AQ74" t="s">
        <v>72</v>
      </c>
      <c r="AR74" t="s">
        <v>72</v>
      </c>
      <c r="AS74">
        <v>298</v>
      </c>
      <c r="AT74" s="4">
        <v>42772</v>
      </c>
      <c r="AU74" t="s">
        <v>73</v>
      </c>
      <c r="AV74">
        <v>298</v>
      </c>
      <c r="AW74" s="4">
        <v>42772</v>
      </c>
      <c r="BD74">
        <v>0</v>
      </c>
      <c r="BN74" t="s">
        <v>74</v>
      </c>
    </row>
    <row r="75" spans="1:66">
      <c r="A75">
        <v>100066</v>
      </c>
      <c r="B75" t="s">
        <v>90</v>
      </c>
      <c r="C75" s="1">
        <v>43300101</v>
      </c>
      <c r="D75" t="s">
        <v>67</v>
      </c>
      <c r="H75" t="str">
        <f t="shared" si="9"/>
        <v>04785851009</v>
      </c>
      <c r="I75" t="str">
        <f t="shared" si="10"/>
        <v>12268050155</v>
      </c>
      <c r="K75" t="str">
        <f>""</f>
        <v/>
      </c>
      <c r="M75" t="s">
        <v>68</v>
      </c>
      <c r="N75" t="str">
        <f t="shared" si="5"/>
        <v>FOR</v>
      </c>
      <c r="O75" t="s">
        <v>69</v>
      </c>
      <c r="P75" t="s">
        <v>75</v>
      </c>
      <c r="Q75">
        <v>2016</v>
      </c>
      <c r="R75" s="4">
        <v>42488</v>
      </c>
      <c r="S75" s="2">
        <v>42496</v>
      </c>
      <c r="T75" s="2">
        <v>42489</v>
      </c>
      <c r="U75" s="4">
        <v>42549</v>
      </c>
      <c r="V75" t="s">
        <v>71</v>
      </c>
      <c r="W75" t="str">
        <f>"          1010942279"</f>
        <v xml:space="preserve">          1010942279</v>
      </c>
      <c r="X75" s="1">
        <v>4112.38</v>
      </c>
      <c r="Y75">
        <v>0</v>
      </c>
      <c r="Z75" s="5">
        <v>3370.8</v>
      </c>
      <c r="AA75" s="3">
        <v>223</v>
      </c>
      <c r="AB75" s="5">
        <v>751688.4</v>
      </c>
      <c r="AC75" s="1">
        <v>3370.8</v>
      </c>
      <c r="AD75">
        <v>223</v>
      </c>
      <c r="AE75" s="1">
        <v>751688.4</v>
      </c>
      <c r="AF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 s="2">
        <v>42831</v>
      </c>
      <c r="AQ75" t="s">
        <v>72</v>
      </c>
      <c r="AR75" t="s">
        <v>72</v>
      </c>
      <c r="AS75">
        <v>298</v>
      </c>
      <c r="AT75" s="4">
        <v>42772</v>
      </c>
      <c r="AU75" t="s">
        <v>73</v>
      </c>
      <c r="AV75">
        <v>298</v>
      </c>
      <c r="AW75" s="4">
        <v>42772</v>
      </c>
      <c r="BD75">
        <v>0</v>
      </c>
      <c r="BN75" t="s">
        <v>74</v>
      </c>
    </row>
    <row r="76" spans="1:66">
      <c r="A76">
        <v>100066</v>
      </c>
      <c r="B76" t="s">
        <v>90</v>
      </c>
      <c r="C76" s="1">
        <v>43300101</v>
      </c>
      <c r="D76" t="s">
        <v>67</v>
      </c>
      <c r="H76" t="str">
        <f t="shared" si="9"/>
        <v>04785851009</v>
      </c>
      <c r="I76" t="str">
        <f t="shared" si="10"/>
        <v>12268050155</v>
      </c>
      <c r="K76" t="str">
        <f>""</f>
        <v/>
      </c>
      <c r="M76" t="s">
        <v>68</v>
      </c>
      <c r="N76" t="str">
        <f t="shared" ref="N76:N107" si="11">"FOR"</f>
        <v>FOR</v>
      </c>
      <c r="O76" t="s">
        <v>69</v>
      </c>
      <c r="P76" t="s">
        <v>75</v>
      </c>
      <c r="Q76">
        <v>2016</v>
      </c>
      <c r="R76" s="4">
        <v>42492</v>
      </c>
      <c r="S76" s="2">
        <v>42496</v>
      </c>
      <c r="T76" s="2">
        <v>42493</v>
      </c>
      <c r="U76" s="4">
        <v>42553</v>
      </c>
      <c r="V76" t="s">
        <v>71</v>
      </c>
      <c r="W76" t="str">
        <f>"          1010942958"</f>
        <v xml:space="preserve">          1010942958</v>
      </c>
      <c r="X76" s="1">
        <v>3343.78</v>
      </c>
      <c r="Y76">
        <v>0</v>
      </c>
      <c r="Z76" s="5">
        <v>2740.8</v>
      </c>
      <c r="AA76" s="3">
        <v>229</v>
      </c>
      <c r="AB76" s="5">
        <v>627643.19999999995</v>
      </c>
      <c r="AC76" s="1">
        <v>2740.8</v>
      </c>
      <c r="AD76">
        <v>229</v>
      </c>
      <c r="AE76" s="1">
        <v>627643.19999999995</v>
      </c>
      <c r="AF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 s="2">
        <v>42831</v>
      </c>
      <c r="AQ76" t="s">
        <v>72</v>
      </c>
      <c r="AR76" t="s">
        <v>72</v>
      </c>
      <c r="AS76">
        <v>484</v>
      </c>
      <c r="AT76" s="4">
        <v>42782</v>
      </c>
      <c r="AU76" t="s">
        <v>73</v>
      </c>
      <c r="AV76">
        <v>484</v>
      </c>
      <c r="AW76" s="4">
        <v>42782</v>
      </c>
      <c r="BD76">
        <v>0</v>
      </c>
      <c r="BN76" t="s">
        <v>74</v>
      </c>
    </row>
    <row r="77" spans="1:66">
      <c r="A77">
        <v>100066</v>
      </c>
      <c r="B77" t="s">
        <v>90</v>
      </c>
      <c r="C77" s="1">
        <v>43300101</v>
      </c>
      <c r="D77" t="s">
        <v>67</v>
      </c>
      <c r="H77" t="str">
        <f t="shared" si="9"/>
        <v>04785851009</v>
      </c>
      <c r="I77" t="str">
        <f t="shared" si="10"/>
        <v>12268050155</v>
      </c>
      <c r="K77" t="str">
        <f>""</f>
        <v/>
      </c>
      <c r="M77" t="s">
        <v>68</v>
      </c>
      <c r="N77" t="str">
        <f t="shared" si="11"/>
        <v>FOR</v>
      </c>
      <c r="O77" t="s">
        <v>69</v>
      </c>
      <c r="P77" t="s">
        <v>75</v>
      </c>
      <c r="Q77">
        <v>2016</v>
      </c>
      <c r="R77" s="4">
        <v>42492</v>
      </c>
      <c r="S77" s="2">
        <v>42496</v>
      </c>
      <c r="T77" s="2">
        <v>42493</v>
      </c>
      <c r="U77" s="4">
        <v>42553</v>
      </c>
      <c r="V77" t="s">
        <v>71</v>
      </c>
      <c r="W77" t="str">
        <f>"          1010942959"</f>
        <v xml:space="preserve">          1010942959</v>
      </c>
      <c r="X77" s="1">
        <v>3343.78</v>
      </c>
      <c r="Y77">
        <v>0</v>
      </c>
      <c r="Z77" s="5">
        <v>2740.8</v>
      </c>
      <c r="AA77" s="3">
        <v>229</v>
      </c>
      <c r="AB77" s="5">
        <v>627643.19999999995</v>
      </c>
      <c r="AC77" s="1">
        <v>2740.8</v>
      </c>
      <c r="AD77">
        <v>229</v>
      </c>
      <c r="AE77" s="1">
        <v>627643.19999999995</v>
      </c>
      <c r="AF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 s="2">
        <v>42831</v>
      </c>
      <c r="AQ77" t="s">
        <v>72</v>
      </c>
      <c r="AR77" t="s">
        <v>72</v>
      </c>
      <c r="AS77">
        <v>484</v>
      </c>
      <c r="AT77" s="4">
        <v>42782</v>
      </c>
      <c r="AU77" t="s">
        <v>73</v>
      </c>
      <c r="AV77">
        <v>484</v>
      </c>
      <c r="AW77" s="4">
        <v>42782</v>
      </c>
      <c r="BD77">
        <v>0</v>
      </c>
      <c r="BN77" t="s">
        <v>74</v>
      </c>
    </row>
    <row r="78" spans="1:66">
      <c r="A78">
        <v>100066</v>
      </c>
      <c r="B78" t="s">
        <v>90</v>
      </c>
      <c r="C78" s="1">
        <v>43300101</v>
      </c>
      <c r="D78" t="s">
        <v>67</v>
      </c>
      <c r="H78" t="str">
        <f t="shared" si="9"/>
        <v>04785851009</v>
      </c>
      <c r="I78" t="str">
        <f t="shared" si="10"/>
        <v>12268050155</v>
      </c>
      <c r="K78" t="str">
        <f>""</f>
        <v/>
      </c>
      <c r="M78" t="s">
        <v>68</v>
      </c>
      <c r="N78" t="str">
        <f t="shared" si="11"/>
        <v>FOR</v>
      </c>
      <c r="O78" t="s">
        <v>69</v>
      </c>
      <c r="P78" t="s">
        <v>75</v>
      </c>
      <c r="Q78">
        <v>2016</v>
      </c>
      <c r="R78" s="4">
        <v>42493</v>
      </c>
      <c r="S78" s="2">
        <v>42496</v>
      </c>
      <c r="T78" s="2">
        <v>42494</v>
      </c>
      <c r="U78" s="4">
        <v>42554</v>
      </c>
      <c r="V78" t="s">
        <v>71</v>
      </c>
      <c r="W78" t="str">
        <f>"          1010943200"</f>
        <v xml:space="preserve">          1010943200</v>
      </c>
      <c r="X78" s="1">
        <v>1024.8</v>
      </c>
      <c r="Y78">
        <v>0</v>
      </c>
      <c r="Z78" s="5">
        <v>840</v>
      </c>
      <c r="AA78" s="3">
        <v>228</v>
      </c>
      <c r="AB78" s="5">
        <v>191520</v>
      </c>
      <c r="AC78">
        <v>840</v>
      </c>
      <c r="AD78">
        <v>228</v>
      </c>
      <c r="AE78" s="1">
        <v>191520</v>
      </c>
      <c r="AF78">
        <v>0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 s="2">
        <v>42831</v>
      </c>
      <c r="AQ78" t="s">
        <v>72</v>
      </c>
      <c r="AR78" t="s">
        <v>72</v>
      </c>
      <c r="AS78">
        <v>484</v>
      </c>
      <c r="AT78" s="4">
        <v>42782</v>
      </c>
      <c r="AU78" t="s">
        <v>73</v>
      </c>
      <c r="AV78">
        <v>484</v>
      </c>
      <c r="AW78" s="4">
        <v>42782</v>
      </c>
      <c r="BD78">
        <v>0</v>
      </c>
      <c r="BN78" t="s">
        <v>74</v>
      </c>
    </row>
    <row r="79" spans="1:66">
      <c r="A79">
        <v>100066</v>
      </c>
      <c r="B79" t="s">
        <v>90</v>
      </c>
      <c r="C79" s="1">
        <v>43300101</v>
      </c>
      <c r="D79" t="s">
        <v>67</v>
      </c>
      <c r="H79" t="str">
        <f t="shared" si="9"/>
        <v>04785851009</v>
      </c>
      <c r="I79" t="str">
        <f t="shared" si="10"/>
        <v>12268050155</v>
      </c>
      <c r="K79" t="str">
        <f>""</f>
        <v/>
      </c>
      <c r="M79" t="s">
        <v>68</v>
      </c>
      <c r="N79" t="str">
        <f t="shared" si="11"/>
        <v>FOR</v>
      </c>
      <c r="O79" t="s">
        <v>69</v>
      </c>
      <c r="P79" t="s">
        <v>75</v>
      </c>
      <c r="Q79">
        <v>2016</v>
      </c>
      <c r="R79" s="4">
        <v>42494</v>
      </c>
      <c r="S79" s="2">
        <v>42496</v>
      </c>
      <c r="T79" s="2">
        <v>42495</v>
      </c>
      <c r="U79" s="4">
        <v>42555</v>
      </c>
      <c r="V79" t="s">
        <v>71</v>
      </c>
      <c r="W79" t="str">
        <f>"          1010943468"</f>
        <v xml:space="preserve">          1010943468</v>
      </c>
      <c r="X79" s="1">
        <v>2049.6</v>
      </c>
      <c r="Y79">
        <v>0</v>
      </c>
      <c r="Z79" s="5">
        <v>1680</v>
      </c>
      <c r="AA79" s="3">
        <v>227</v>
      </c>
      <c r="AB79" s="5">
        <v>381360</v>
      </c>
      <c r="AC79" s="1">
        <v>1680</v>
      </c>
      <c r="AD79">
        <v>227</v>
      </c>
      <c r="AE79" s="1">
        <v>381360</v>
      </c>
      <c r="AF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 s="2">
        <v>42831</v>
      </c>
      <c r="AQ79" t="s">
        <v>72</v>
      </c>
      <c r="AR79" t="s">
        <v>72</v>
      </c>
      <c r="AS79">
        <v>484</v>
      </c>
      <c r="AT79" s="4">
        <v>42782</v>
      </c>
      <c r="AU79" t="s">
        <v>73</v>
      </c>
      <c r="AV79">
        <v>484</v>
      </c>
      <c r="AW79" s="4">
        <v>42782</v>
      </c>
      <c r="BD79">
        <v>0</v>
      </c>
      <c r="BN79" t="s">
        <v>74</v>
      </c>
    </row>
    <row r="80" spans="1:66">
      <c r="A80">
        <v>100066</v>
      </c>
      <c r="B80" t="s">
        <v>90</v>
      </c>
      <c r="C80" s="1">
        <v>43300101</v>
      </c>
      <c r="D80" t="s">
        <v>67</v>
      </c>
      <c r="H80" t="str">
        <f t="shared" si="9"/>
        <v>04785851009</v>
      </c>
      <c r="I80" t="str">
        <f t="shared" si="10"/>
        <v>12268050155</v>
      </c>
      <c r="K80" t="str">
        <f>""</f>
        <v/>
      </c>
      <c r="M80" t="s">
        <v>68</v>
      </c>
      <c r="N80" t="str">
        <f t="shared" si="11"/>
        <v>FOR</v>
      </c>
      <c r="O80" t="s">
        <v>69</v>
      </c>
      <c r="P80" t="s">
        <v>75</v>
      </c>
      <c r="Q80">
        <v>2016</v>
      </c>
      <c r="R80" s="4">
        <v>42495</v>
      </c>
      <c r="S80" s="2">
        <v>42502</v>
      </c>
      <c r="T80" s="2">
        <v>42496</v>
      </c>
      <c r="U80" s="4">
        <v>42556</v>
      </c>
      <c r="V80" t="s">
        <v>71</v>
      </c>
      <c r="W80" t="str">
        <f>"          1010943671"</f>
        <v xml:space="preserve">          1010943671</v>
      </c>
      <c r="X80" s="1">
        <v>4458.37</v>
      </c>
      <c r="Y80">
        <v>0</v>
      </c>
      <c r="Z80" s="5">
        <v>3654.4</v>
      </c>
      <c r="AA80" s="3">
        <v>226</v>
      </c>
      <c r="AB80" s="5">
        <v>825894.40000000002</v>
      </c>
      <c r="AC80" s="1">
        <v>3654.4</v>
      </c>
      <c r="AD80">
        <v>226</v>
      </c>
      <c r="AE80" s="1">
        <v>825894.40000000002</v>
      </c>
      <c r="AF80">
        <v>0</v>
      </c>
      <c r="AJ80">
        <v>0</v>
      </c>
      <c r="AK80">
        <v>0</v>
      </c>
      <c r="AL80">
        <v>0</v>
      </c>
      <c r="AM80">
        <v>0</v>
      </c>
      <c r="AN80">
        <v>0</v>
      </c>
      <c r="AO80">
        <v>0</v>
      </c>
      <c r="AP80" s="2">
        <v>42831</v>
      </c>
      <c r="AQ80" t="s">
        <v>72</v>
      </c>
      <c r="AR80" t="s">
        <v>72</v>
      </c>
      <c r="AS80">
        <v>484</v>
      </c>
      <c r="AT80" s="4">
        <v>42782</v>
      </c>
      <c r="AU80" t="s">
        <v>73</v>
      </c>
      <c r="AV80">
        <v>484</v>
      </c>
      <c r="AW80" s="4">
        <v>42782</v>
      </c>
      <c r="BD80">
        <v>0</v>
      </c>
      <c r="BN80" t="s">
        <v>74</v>
      </c>
    </row>
    <row r="81" spans="1:66">
      <c r="A81">
        <v>100066</v>
      </c>
      <c r="B81" t="s">
        <v>90</v>
      </c>
      <c r="C81" s="1">
        <v>43300101</v>
      </c>
      <c r="D81" t="s">
        <v>67</v>
      </c>
      <c r="H81" t="str">
        <f t="shared" si="9"/>
        <v>04785851009</v>
      </c>
      <c r="I81" t="str">
        <f t="shared" si="10"/>
        <v>12268050155</v>
      </c>
      <c r="K81" t="str">
        <f>""</f>
        <v/>
      </c>
      <c r="M81" t="s">
        <v>68</v>
      </c>
      <c r="N81" t="str">
        <f t="shared" si="11"/>
        <v>FOR</v>
      </c>
      <c r="O81" t="s">
        <v>69</v>
      </c>
      <c r="P81" t="s">
        <v>75</v>
      </c>
      <c r="Q81">
        <v>2016</v>
      </c>
      <c r="R81" s="4">
        <v>42500</v>
      </c>
      <c r="S81" s="2">
        <v>42501</v>
      </c>
      <c r="T81" s="2">
        <v>42501</v>
      </c>
      <c r="U81" s="4">
        <v>42561</v>
      </c>
      <c r="V81" t="s">
        <v>71</v>
      </c>
      <c r="W81" t="str">
        <f>"          1010944256"</f>
        <v xml:space="preserve">          1010944256</v>
      </c>
      <c r="X81" s="1">
        <v>1114.5899999999999</v>
      </c>
      <c r="Y81">
        <v>0</v>
      </c>
      <c r="Z81" s="5">
        <v>913.6</v>
      </c>
      <c r="AA81" s="3">
        <v>221</v>
      </c>
      <c r="AB81" s="5">
        <v>201905.6</v>
      </c>
      <c r="AC81">
        <v>913.6</v>
      </c>
      <c r="AD81">
        <v>221</v>
      </c>
      <c r="AE81" s="1">
        <v>201905.6</v>
      </c>
      <c r="AF81">
        <v>0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 s="2">
        <v>42831</v>
      </c>
      <c r="AQ81" t="s">
        <v>72</v>
      </c>
      <c r="AR81" t="s">
        <v>72</v>
      </c>
      <c r="AS81">
        <v>484</v>
      </c>
      <c r="AT81" s="4">
        <v>42782</v>
      </c>
      <c r="AU81" t="s">
        <v>73</v>
      </c>
      <c r="AV81">
        <v>484</v>
      </c>
      <c r="AW81" s="4">
        <v>42782</v>
      </c>
      <c r="BD81">
        <v>0</v>
      </c>
      <c r="BN81" t="s">
        <v>74</v>
      </c>
    </row>
    <row r="82" spans="1:66">
      <c r="A82">
        <v>100066</v>
      </c>
      <c r="B82" t="s">
        <v>90</v>
      </c>
      <c r="C82" s="1">
        <v>43300101</v>
      </c>
      <c r="D82" t="s">
        <v>67</v>
      </c>
      <c r="H82" t="str">
        <f t="shared" si="9"/>
        <v>04785851009</v>
      </c>
      <c r="I82" t="str">
        <f t="shared" si="10"/>
        <v>12268050155</v>
      </c>
      <c r="K82" t="str">
        <f>""</f>
        <v/>
      </c>
      <c r="M82" t="s">
        <v>68</v>
      </c>
      <c r="N82" t="str">
        <f t="shared" si="11"/>
        <v>FOR</v>
      </c>
      <c r="O82" t="s">
        <v>69</v>
      </c>
      <c r="P82" t="s">
        <v>75</v>
      </c>
      <c r="Q82">
        <v>2016</v>
      </c>
      <c r="R82" s="4">
        <v>42502</v>
      </c>
      <c r="S82" s="2">
        <v>42509</v>
      </c>
      <c r="T82" s="2">
        <v>42503</v>
      </c>
      <c r="U82" s="4">
        <v>42563</v>
      </c>
      <c r="V82" t="s">
        <v>71</v>
      </c>
      <c r="W82" t="str">
        <f>"          1010944730"</f>
        <v xml:space="preserve">          1010944730</v>
      </c>
      <c r="X82">
        <v>512.4</v>
      </c>
      <c r="Y82">
        <v>0</v>
      </c>
      <c r="Z82" s="5">
        <v>420</v>
      </c>
      <c r="AA82" s="3">
        <v>219</v>
      </c>
      <c r="AB82" s="5">
        <v>91980</v>
      </c>
      <c r="AC82">
        <v>420</v>
      </c>
      <c r="AD82">
        <v>219</v>
      </c>
      <c r="AE82" s="1">
        <v>91980</v>
      </c>
      <c r="AF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 s="2">
        <v>42831</v>
      </c>
      <c r="AQ82" t="s">
        <v>72</v>
      </c>
      <c r="AR82" t="s">
        <v>72</v>
      </c>
      <c r="AS82">
        <v>484</v>
      </c>
      <c r="AT82" s="4">
        <v>42782</v>
      </c>
      <c r="AU82" t="s">
        <v>73</v>
      </c>
      <c r="AV82">
        <v>484</v>
      </c>
      <c r="AW82" s="4">
        <v>42782</v>
      </c>
      <c r="BD82">
        <v>0</v>
      </c>
      <c r="BN82" t="s">
        <v>74</v>
      </c>
    </row>
    <row r="83" spans="1:66">
      <c r="A83">
        <v>100066</v>
      </c>
      <c r="B83" t="s">
        <v>90</v>
      </c>
      <c r="C83" s="1">
        <v>43300101</v>
      </c>
      <c r="D83" t="s">
        <v>67</v>
      </c>
      <c r="H83" t="str">
        <f t="shared" si="9"/>
        <v>04785851009</v>
      </c>
      <c r="I83" t="str">
        <f t="shared" si="10"/>
        <v>12268050155</v>
      </c>
      <c r="K83" t="str">
        <f>""</f>
        <v/>
      </c>
      <c r="M83" t="s">
        <v>68</v>
      </c>
      <c r="N83" t="str">
        <f t="shared" si="11"/>
        <v>FOR</v>
      </c>
      <c r="O83" t="s">
        <v>69</v>
      </c>
      <c r="P83" t="s">
        <v>75</v>
      </c>
      <c r="Q83">
        <v>2016</v>
      </c>
      <c r="R83" s="4">
        <v>42503</v>
      </c>
      <c r="S83" s="2">
        <v>42506</v>
      </c>
      <c r="T83" s="2">
        <v>42504</v>
      </c>
      <c r="U83" s="4">
        <v>42564</v>
      </c>
      <c r="V83" t="s">
        <v>71</v>
      </c>
      <c r="W83" t="str">
        <f>"          1010944909"</f>
        <v xml:space="preserve">          1010944909</v>
      </c>
      <c r="X83" s="1">
        <v>3343.78</v>
      </c>
      <c r="Y83">
        <v>0</v>
      </c>
      <c r="Z83" s="5">
        <v>2740.8</v>
      </c>
      <c r="AA83" s="3">
        <v>218</v>
      </c>
      <c r="AB83" s="5">
        <v>597494.4</v>
      </c>
      <c r="AC83" s="1">
        <v>2740.8</v>
      </c>
      <c r="AD83">
        <v>218</v>
      </c>
      <c r="AE83" s="1">
        <v>597494.4</v>
      </c>
      <c r="AF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 s="2">
        <v>42831</v>
      </c>
      <c r="AQ83" t="s">
        <v>72</v>
      </c>
      <c r="AR83" t="s">
        <v>72</v>
      </c>
      <c r="AS83">
        <v>484</v>
      </c>
      <c r="AT83" s="4">
        <v>42782</v>
      </c>
      <c r="AU83" t="s">
        <v>73</v>
      </c>
      <c r="AV83">
        <v>484</v>
      </c>
      <c r="AW83" s="4">
        <v>42782</v>
      </c>
      <c r="BD83">
        <v>0</v>
      </c>
      <c r="BN83" t="s">
        <v>74</v>
      </c>
    </row>
    <row r="84" spans="1:66">
      <c r="A84">
        <v>100066</v>
      </c>
      <c r="B84" t="s">
        <v>90</v>
      </c>
      <c r="C84" s="1">
        <v>43300101</v>
      </c>
      <c r="D84" t="s">
        <v>67</v>
      </c>
      <c r="H84" t="str">
        <f t="shared" si="9"/>
        <v>04785851009</v>
      </c>
      <c r="I84" t="str">
        <f t="shared" si="10"/>
        <v>12268050155</v>
      </c>
      <c r="K84" t="str">
        <f>""</f>
        <v/>
      </c>
      <c r="M84" t="s">
        <v>68</v>
      </c>
      <c r="N84" t="str">
        <f t="shared" si="11"/>
        <v>FOR</v>
      </c>
      <c r="O84" t="s">
        <v>69</v>
      </c>
      <c r="P84" t="s">
        <v>75</v>
      </c>
      <c r="Q84">
        <v>2016</v>
      </c>
      <c r="R84" s="4">
        <v>42503</v>
      </c>
      <c r="S84" s="2">
        <v>42506</v>
      </c>
      <c r="T84" s="2">
        <v>42504</v>
      </c>
      <c r="U84" s="4">
        <v>42564</v>
      </c>
      <c r="V84" t="s">
        <v>71</v>
      </c>
      <c r="W84" t="str">
        <f>"          1010944910"</f>
        <v xml:space="preserve">          1010944910</v>
      </c>
      <c r="X84">
        <v>578.28</v>
      </c>
      <c r="Y84">
        <v>0</v>
      </c>
      <c r="Z84" s="5">
        <v>474</v>
      </c>
      <c r="AA84" s="3">
        <v>218</v>
      </c>
      <c r="AB84" s="5">
        <v>103332</v>
      </c>
      <c r="AC84">
        <v>474</v>
      </c>
      <c r="AD84">
        <v>218</v>
      </c>
      <c r="AE84" s="1">
        <v>103332</v>
      </c>
      <c r="AF84">
        <v>0</v>
      </c>
      <c r="AJ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 s="2">
        <v>42831</v>
      </c>
      <c r="AQ84" t="s">
        <v>72</v>
      </c>
      <c r="AR84" t="s">
        <v>72</v>
      </c>
      <c r="AS84">
        <v>484</v>
      </c>
      <c r="AT84" s="4">
        <v>42782</v>
      </c>
      <c r="AU84" t="s">
        <v>73</v>
      </c>
      <c r="AV84">
        <v>484</v>
      </c>
      <c r="AW84" s="4">
        <v>42782</v>
      </c>
      <c r="BD84">
        <v>0</v>
      </c>
      <c r="BN84" t="s">
        <v>74</v>
      </c>
    </row>
    <row r="85" spans="1:66">
      <c r="A85">
        <v>100066</v>
      </c>
      <c r="B85" t="s">
        <v>90</v>
      </c>
      <c r="C85" s="1">
        <v>43300101</v>
      </c>
      <c r="D85" t="s">
        <v>67</v>
      </c>
      <c r="H85" t="str">
        <f t="shared" si="9"/>
        <v>04785851009</v>
      </c>
      <c r="I85" t="str">
        <f t="shared" si="10"/>
        <v>12268050155</v>
      </c>
      <c r="K85" t="str">
        <f>""</f>
        <v/>
      </c>
      <c r="M85" t="s">
        <v>68</v>
      </c>
      <c r="N85" t="str">
        <f t="shared" si="11"/>
        <v>FOR</v>
      </c>
      <c r="O85" t="s">
        <v>69</v>
      </c>
      <c r="P85" t="s">
        <v>75</v>
      </c>
      <c r="Q85">
        <v>2016</v>
      </c>
      <c r="R85" s="4">
        <v>42507</v>
      </c>
      <c r="S85" s="2">
        <v>42514</v>
      </c>
      <c r="T85" s="2">
        <v>42508</v>
      </c>
      <c r="U85" s="4">
        <v>42568</v>
      </c>
      <c r="V85" t="s">
        <v>71</v>
      </c>
      <c r="W85" t="str">
        <f>"          1010945166"</f>
        <v xml:space="preserve">          1010945166</v>
      </c>
      <c r="X85">
        <v>768.6</v>
      </c>
      <c r="Y85">
        <v>0</v>
      </c>
      <c r="Z85" s="5">
        <v>630</v>
      </c>
      <c r="AA85" s="3">
        <v>214</v>
      </c>
      <c r="AB85" s="5">
        <v>134820</v>
      </c>
      <c r="AC85">
        <v>630</v>
      </c>
      <c r="AD85">
        <v>214</v>
      </c>
      <c r="AE85" s="1">
        <v>134820</v>
      </c>
      <c r="AF85">
        <v>0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 s="2">
        <v>42831</v>
      </c>
      <c r="AQ85" t="s">
        <v>72</v>
      </c>
      <c r="AR85" t="s">
        <v>72</v>
      </c>
      <c r="AS85">
        <v>484</v>
      </c>
      <c r="AT85" s="4">
        <v>42782</v>
      </c>
      <c r="AU85" t="s">
        <v>73</v>
      </c>
      <c r="AV85">
        <v>484</v>
      </c>
      <c r="AW85" s="4">
        <v>42782</v>
      </c>
      <c r="BD85">
        <v>0</v>
      </c>
      <c r="BN85" t="s">
        <v>74</v>
      </c>
    </row>
    <row r="86" spans="1:66">
      <c r="A86">
        <v>100066</v>
      </c>
      <c r="B86" t="s">
        <v>90</v>
      </c>
      <c r="C86" s="1">
        <v>43300101</v>
      </c>
      <c r="D86" t="s">
        <v>67</v>
      </c>
      <c r="H86" t="str">
        <f t="shared" si="9"/>
        <v>04785851009</v>
      </c>
      <c r="I86" t="str">
        <f t="shared" si="10"/>
        <v>12268050155</v>
      </c>
      <c r="K86" t="str">
        <f>""</f>
        <v/>
      </c>
      <c r="M86" t="s">
        <v>68</v>
      </c>
      <c r="N86" t="str">
        <f t="shared" si="11"/>
        <v>FOR</v>
      </c>
      <c r="O86" t="s">
        <v>69</v>
      </c>
      <c r="P86" t="s">
        <v>75</v>
      </c>
      <c r="Q86">
        <v>2016</v>
      </c>
      <c r="R86" s="4">
        <v>42507</v>
      </c>
      <c r="S86" s="2">
        <v>42527</v>
      </c>
      <c r="T86" s="2">
        <v>42508</v>
      </c>
      <c r="U86" s="4">
        <v>42568</v>
      </c>
      <c r="V86" t="s">
        <v>71</v>
      </c>
      <c r="W86" t="str">
        <f>"          1010945167"</f>
        <v xml:space="preserve">          1010945167</v>
      </c>
      <c r="X86" s="1">
        <v>13761.6</v>
      </c>
      <c r="Y86">
        <v>0</v>
      </c>
      <c r="Z86" s="5">
        <v>11280</v>
      </c>
      <c r="AA86" s="3">
        <v>214</v>
      </c>
      <c r="AB86" s="5">
        <v>2413920</v>
      </c>
      <c r="AC86" s="1">
        <v>11280</v>
      </c>
      <c r="AD86">
        <v>214</v>
      </c>
      <c r="AE86" s="1">
        <v>2413920</v>
      </c>
      <c r="AF86">
        <v>0</v>
      </c>
      <c r="AJ86">
        <v>0</v>
      </c>
      <c r="AK86">
        <v>0</v>
      </c>
      <c r="AL86">
        <v>0</v>
      </c>
      <c r="AM86">
        <v>0</v>
      </c>
      <c r="AN86">
        <v>0</v>
      </c>
      <c r="AO86">
        <v>0</v>
      </c>
      <c r="AP86" s="2">
        <v>42831</v>
      </c>
      <c r="AQ86" t="s">
        <v>72</v>
      </c>
      <c r="AR86" t="s">
        <v>72</v>
      </c>
      <c r="AS86">
        <v>484</v>
      </c>
      <c r="AT86" s="4">
        <v>42782</v>
      </c>
      <c r="AU86" t="s">
        <v>73</v>
      </c>
      <c r="AV86">
        <v>484</v>
      </c>
      <c r="AW86" s="4">
        <v>42782</v>
      </c>
      <c r="BD86">
        <v>0</v>
      </c>
      <c r="BN86" t="s">
        <v>74</v>
      </c>
    </row>
    <row r="87" spans="1:66">
      <c r="A87">
        <v>100066</v>
      </c>
      <c r="B87" t="s">
        <v>90</v>
      </c>
      <c r="C87" s="1">
        <v>43300101</v>
      </c>
      <c r="D87" t="s">
        <v>67</v>
      </c>
      <c r="H87" t="str">
        <f t="shared" si="9"/>
        <v>04785851009</v>
      </c>
      <c r="I87" t="str">
        <f t="shared" si="10"/>
        <v>12268050155</v>
      </c>
      <c r="K87" t="str">
        <f>""</f>
        <v/>
      </c>
      <c r="M87" t="s">
        <v>68</v>
      </c>
      <c r="N87" t="str">
        <f t="shared" si="11"/>
        <v>FOR</v>
      </c>
      <c r="O87" t="s">
        <v>69</v>
      </c>
      <c r="P87" t="s">
        <v>75</v>
      </c>
      <c r="Q87">
        <v>2016</v>
      </c>
      <c r="R87" s="4">
        <v>42507</v>
      </c>
      <c r="S87" s="2">
        <v>42522</v>
      </c>
      <c r="T87" s="2">
        <v>42508</v>
      </c>
      <c r="U87" s="4">
        <v>42568</v>
      </c>
      <c r="V87" t="s">
        <v>71</v>
      </c>
      <c r="W87" t="str">
        <f>"          1010945168"</f>
        <v xml:space="preserve">          1010945168</v>
      </c>
      <c r="X87" s="1">
        <v>1215.1199999999999</v>
      </c>
      <c r="Y87">
        <v>0</v>
      </c>
      <c r="Z87" s="5">
        <v>996</v>
      </c>
      <c r="AA87" s="3">
        <v>214</v>
      </c>
      <c r="AB87" s="5">
        <v>213144</v>
      </c>
      <c r="AC87">
        <v>996</v>
      </c>
      <c r="AD87">
        <v>214</v>
      </c>
      <c r="AE87" s="1">
        <v>213144</v>
      </c>
      <c r="AF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 s="2">
        <v>42831</v>
      </c>
      <c r="AQ87" t="s">
        <v>72</v>
      </c>
      <c r="AR87" t="s">
        <v>72</v>
      </c>
      <c r="AS87">
        <v>484</v>
      </c>
      <c r="AT87" s="4">
        <v>42782</v>
      </c>
      <c r="AU87" t="s">
        <v>73</v>
      </c>
      <c r="AV87">
        <v>484</v>
      </c>
      <c r="AW87" s="4">
        <v>42782</v>
      </c>
      <c r="BD87">
        <v>0</v>
      </c>
      <c r="BN87" t="s">
        <v>74</v>
      </c>
    </row>
    <row r="88" spans="1:66">
      <c r="A88">
        <v>100066</v>
      </c>
      <c r="B88" t="s">
        <v>90</v>
      </c>
      <c r="C88" s="1">
        <v>43300101</v>
      </c>
      <c r="D88" t="s">
        <v>67</v>
      </c>
      <c r="H88" t="str">
        <f t="shared" si="9"/>
        <v>04785851009</v>
      </c>
      <c r="I88" t="str">
        <f t="shared" si="10"/>
        <v>12268050155</v>
      </c>
      <c r="K88" t="str">
        <f>""</f>
        <v/>
      </c>
      <c r="M88" t="s">
        <v>68</v>
      </c>
      <c r="N88" t="str">
        <f t="shared" si="11"/>
        <v>FOR</v>
      </c>
      <c r="O88" t="s">
        <v>69</v>
      </c>
      <c r="P88" t="s">
        <v>75</v>
      </c>
      <c r="Q88">
        <v>2016</v>
      </c>
      <c r="R88" s="4">
        <v>42509</v>
      </c>
      <c r="S88" s="2">
        <v>42516</v>
      </c>
      <c r="T88" s="2">
        <v>42510</v>
      </c>
      <c r="U88" s="4">
        <v>42570</v>
      </c>
      <c r="V88" t="s">
        <v>71</v>
      </c>
      <c r="W88" t="str">
        <f>"          1010945752"</f>
        <v xml:space="preserve">          1010945752</v>
      </c>
      <c r="X88" s="1">
        <v>7320</v>
      </c>
      <c r="Y88">
        <v>0</v>
      </c>
      <c r="Z88" s="5">
        <v>6000</v>
      </c>
      <c r="AA88" s="3">
        <v>212</v>
      </c>
      <c r="AB88" s="5">
        <v>1272000</v>
      </c>
      <c r="AC88" s="1">
        <v>6000</v>
      </c>
      <c r="AD88">
        <v>212</v>
      </c>
      <c r="AE88" s="1">
        <v>1272000</v>
      </c>
      <c r="AF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 s="2">
        <v>42831</v>
      </c>
      <c r="AQ88" t="s">
        <v>72</v>
      </c>
      <c r="AR88" t="s">
        <v>72</v>
      </c>
      <c r="AS88">
        <v>484</v>
      </c>
      <c r="AT88" s="4">
        <v>42782</v>
      </c>
      <c r="AU88" t="s">
        <v>73</v>
      </c>
      <c r="AV88">
        <v>484</v>
      </c>
      <c r="AW88" s="4">
        <v>42782</v>
      </c>
      <c r="BD88">
        <v>0</v>
      </c>
      <c r="BN88" t="s">
        <v>74</v>
      </c>
    </row>
    <row r="89" spans="1:66">
      <c r="A89">
        <v>100066</v>
      </c>
      <c r="B89" t="s">
        <v>90</v>
      </c>
      <c r="C89" s="1">
        <v>43300101</v>
      </c>
      <c r="D89" t="s">
        <v>67</v>
      </c>
      <c r="H89" t="str">
        <f t="shared" si="9"/>
        <v>04785851009</v>
      </c>
      <c r="I89" t="str">
        <f t="shared" si="10"/>
        <v>12268050155</v>
      </c>
      <c r="K89" t="str">
        <f>""</f>
        <v/>
      </c>
      <c r="M89" t="s">
        <v>68</v>
      </c>
      <c r="N89" t="str">
        <f t="shared" si="11"/>
        <v>FOR</v>
      </c>
      <c r="O89" t="s">
        <v>69</v>
      </c>
      <c r="P89" t="s">
        <v>75</v>
      </c>
      <c r="Q89">
        <v>2016</v>
      </c>
      <c r="R89" s="4">
        <v>42514</v>
      </c>
      <c r="S89" s="2">
        <v>42516</v>
      </c>
      <c r="T89" s="2">
        <v>42515</v>
      </c>
      <c r="U89" s="4">
        <v>42575</v>
      </c>
      <c r="V89" t="s">
        <v>71</v>
      </c>
      <c r="W89" t="str">
        <f>"          1010946367"</f>
        <v xml:space="preserve">          1010946367</v>
      </c>
      <c r="X89" s="1">
        <v>1537.2</v>
      </c>
      <c r="Y89">
        <v>0</v>
      </c>
      <c r="Z89" s="5">
        <v>1260</v>
      </c>
      <c r="AA89" s="3">
        <v>207</v>
      </c>
      <c r="AB89" s="5">
        <v>260820</v>
      </c>
      <c r="AC89" s="1">
        <v>1260</v>
      </c>
      <c r="AD89">
        <v>207</v>
      </c>
      <c r="AE89" s="1">
        <v>260820</v>
      </c>
      <c r="AF89">
        <v>0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 s="2">
        <v>42831</v>
      </c>
      <c r="AQ89" t="s">
        <v>72</v>
      </c>
      <c r="AR89" t="s">
        <v>72</v>
      </c>
      <c r="AS89">
        <v>484</v>
      </c>
      <c r="AT89" s="4">
        <v>42782</v>
      </c>
      <c r="AU89" t="s">
        <v>73</v>
      </c>
      <c r="AV89">
        <v>484</v>
      </c>
      <c r="AW89" s="4">
        <v>42782</v>
      </c>
      <c r="BD89">
        <v>0</v>
      </c>
      <c r="BN89" t="s">
        <v>74</v>
      </c>
    </row>
    <row r="90" spans="1:66">
      <c r="A90">
        <v>100066</v>
      </c>
      <c r="B90" t="s">
        <v>90</v>
      </c>
      <c r="C90" s="1">
        <v>43300101</v>
      </c>
      <c r="D90" t="s">
        <v>67</v>
      </c>
      <c r="H90" t="str">
        <f t="shared" si="9"/>
        <v>04785851009</v>
      </c>
      <c r="I90" t="str">
        <f t="shared" si="10"/>
        <v>12268050155</v>
      </c>
      <c r="K90" t="str">
        <f>""</f>
        <v/>
      </c>
      <c r="M90" t="s">
        <v>68</v>
      </c>
      <c r="N90" t="str">
        <f t="shared" si="11"/>
        <v>FOR</v>
      </c>
      <c r="O90" t="s">
        <v>69</v>
      </c>
      <c r="P90" t="s">
        <v>75</v>
      </c>
      <c r="Q90">
        <v>2016</v>
      </c>
      <c r="R90" s="4">
        <v>42515</v>
      </c>
      <c r="S90" s="2">
        <v>42516</v>
      </c>
      <c r="T90" s="2">
        <v>42516</v>
      </c>
      <c r="U90" s="4">
        <v>42576</v>
      </c>
      <c r="V90" t="s">
        <v>71</v>
      </c>
      <c r="W90" t="str">
        <f>"          1010946552"</f>
        <v xml:space="preserve">          1010946552</v>
      </c>
      <c r="X90" s="1">
        <v>4066.66</v>
      </c>
      <c r="Y90">
        <v>0</v>
      </c>
      <c r="Z90" s="5">
        <v>3333.33</v>
      </c>
      <c r="AA90" s="3">
        <v>206</v>
      </c>
      <c r="AB90" s="5">
        <v>686665.98</v>
      </c>
      <c r="AC90" s="1">
        <v>3333.33</v>
      </c>
      <c r="AD90">
        <v>206</v>
      </c>
      <c r="AE90" s="1">
        <v>686665.98</v>
      </c>
      <c r="AF90">
        <v>0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 s="2">
        <v>42831</v>
      </c>
      <c r="AQ90" t="s">
        <v>72</v>
      </c>
      <c r="AR90" t="s">
        <v>72</v>
      </c>
      <c r="AS90">
        <v>484</v>
      </c>
      <c r="AT90" s="4">
        <v>42782</v>
      </c>
      <c r="AU90" t="s">
        <v>73</v>
      </c>
      <c r="AV90">
        <v>484</v>
      </c>
      <c r="AW90" s="4">
        <v>42782</v>
      </c>
      <c r="BD90">
        <v>0</v>
      </c>
      <c r="BN90" t="s">
        <v>74</v>
      </c>
    </row>
    <row r="91" spans="1:66">
      <c r="A91">
        <v>100066</v>
      </c>
      <c r="B91" t="s">
        <v>90</v>
      </c>
      <c r="C91" s="1">
        <v>43300101</v>
      </c>
      <c r="D91" t="s">
        <v>67</v>
      </c>
      <c r="H91" t="str">
        <f t="shared" si="9"/>
        <v>04785851009</v>
      </c>
      <c r="I91" t="str">
        <f t="shared" si="10"/>
        <v>12268050155</v>
      </c>
      <c r="K91" t="str">
        <f>""</f>
        <v/>
      </c>
      <c r="M91" t="s">
        <v>68</v>
      </c>
      <c r="N91" t="str">
        <f t="shared" si="11"/>
        <v>FOR</v>
      </c>
      <c r="O91" t="s">
        <v>69</v>
      </c>
      <c r="P91" t="s">
        <v>75</v>
      </c>
      <c r="Q91">
        <v>2016</v>
      </c>
      <c r="R91" s="4">
        <v>42515</v>
      </c>
      <c r="S91" s="2">
        <v>42516</v>
      </c>
      <c r="T91" s="2">
        <v>42516</v>
      </c>
      <c r="U91" s="4">
        <v>42576</v>
      </c>
      <c r="V91" t="s">
        <v>71</v>
      </c>
      <c r="W91" t="str">
        <f>"          1010946553"</f>
        <v xml:space="preserve">          1010946553</v>
      </c>
      <c r="X91">
        <v>546.23</v>
      </c>
      <c r="Y91">
        <v>0</v>
      </c>
      <c r="Z91" s="5">
        <v>447.73</v>
      </c>
      <c r="AA91" s="3">
        <v>206</v>
      </c>
      <c r="AB91" s="5">
        <v>92232.38</v>
      </c>
      <c r="AC91">
        <v>447.73</v>
      </c>
      <c r="AD91">
        <v>206</v>
      </c>
      <c r="AE91" s="1">
        <v>92232.38</v>
      </c>
      <c r="AF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 s="2">
        <v>42831</v>
      </c>
      <c r="AQ91" t="s">
        <v>72</v>
      </c>
      <c r="AR91" t="s">
        <v>72</v>
      </c>
      <c r="AS91">
        <v>484</v>
      </c>
      <c r="AT91" s="4">
        <v>42782</v>
      </c>
      <c r="AU91" t="s">
        <v>73</v>
      </c>
      <c r="AV91">
        <v>484</v>
      </c>
      <c r="AW91" s="4">
        <v>42782</v>
      </c>
      <c r="BD91">
        <v>0</v>
      </c>
      <c r="BN91" t="s">
        <v>74</v>
      </c>
    </row>
    <row r="92" spans="1:66">
      <c r="A92">
        <v>100066</v>
      </c>
      <c r="B92" t="s">
        <v>90</v>
      </c>
      <c r="C92" s="1">
        <v>43300101</v>
      </c>
      <c r="D92" t="s">
        <v>67</v>
      </c>
      <c r="H92" t="str">
        <f t="shared" ref="H92:H115" si="12">"04785851009"</f>
        <v>04785851009</v>
      </c>
      <c r="I92" t="str">
        <f t="shared" ref="I92:I115" si="13">"12268050155"</f>
        <v>12268050155</v>
      </c>
      <c r="K92" t="str">
        <f>""</f>
        <v/>
      </c>
      <c r="M92" t="s">
        <v>68</v>
      </c>
      <c r="N92" t="str">
        <f t="shared" si="11"/>
        <v>FOR</v>
      </c>
      <c r="O92" t="s">
        <v>69</v>
      </c>
      <c r="P92" t="s">
        <v>75</v>
      </c>
      <c r="Q92">
        <v>2016</v>
      </c>
      <c r="R92" s="4">
        <v>42520</v>
      </c>
      <c r="S92" s="2">
        <v>42521</v>
      </c>
      <c r="T92" s="2">
        <v>42521</v>
      </c>
      <c r="U92" s="4">
        <v>42581</v>
      </c>
      <c r="V92" t="s">
        <v>71</v>
      </c>
      <c r="W92" t="str">
        <f>"          1010947111"</f>
        <v xml:space="preserve">          1010947111</v>
      </c>
      <c r="X92" s="1">
        <v>43716.63</v>
      </c>
      <c r="Y92">
        <v>0</v>
      </c>
      <c r="Z92" s="5">
        <v>35833.300000000003</v>
      </c>
      <c r="AA92" s="3">
        <v>201</v>
      </c>
      <c r="AB92" s="5">
        <v>7202493.2999999998</v>
      </c>
      <c r="AC92" s="1">
        <v>35833.300000000003</v>
      </c>
      <c r="AD92">
        <v>201</v>
      </c>
      <c r="AE92" s="1">
        <v>7202493.2999999998</v>
      </c>
      <c r="AF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 s="2">
        <v>42831</v>
      </c>
      <c r="AQ92" t="s">
        <v>72</v>
      </c>
      <c r="AR92" t="s">
        <v>72</v>
      </c>
      <c r="AS92">
        <v>484</v>
      </c>
      <c r="AT92" s="4">
        <v>42782</v>
      </c>
      <c r="AU92" t="s">
        <v>73</v>
      </c>
      <c r="AV92">
        <v>484</v>
      </c>
      <c r="AW92" s="4">
        <v>42782</v>
      </c>
      <c r="BD92">
        <v>0</v>
      </c>
      <c r="BN92" t="s">
        <v>74</v>
      </c>
    </row>
    <row r="93" spans="1:66">
      <c r="A93">
        <v>100066</v>
      </c>
      <c r="B93" t="s">
        <v>90</v>
      </c>
      <c r="C93" s="1">
        <v>43300101</v>
      </c>
      <c r="D93" t="s">
        <v>67</v>
      </c>
      <c r="H93" t="str">
        <f t="shared" si="12"/>
        <v>04785851009</v>
      </c>
      <c r="I93" t="str">
        <f t="shared" si="13"/>
        <v>12268050155</v>
      </c>
      <c r="K93" t="str">
        <f>""</f>
        <v/>
      </c>
      <c r="M93" t="s">
        <v>68</v>
      </c>
      <c r="N93" t="str">
        <f t="shared" si="11"/>
        <v>FOR</v>
      </c>
      <c r="O93" t="s">
        <v>69</v>
      </c>
      <c r="P93" t="s">
        <v>75</v>
      </c>
      <c r="Q93">
        <v>2016</v>
      </c>
      <c r="R93" s="4">
        <v>42520</v>
      </c>
      <c r="S93" s="2">
        <v>42521</v>
      </c>
      <c r="T93" s="2">
        <v>42521</v>
      </c>
      <c r="U93" s="4">
        <v>42581</v>
      </c>
      <c r="V93" t="s">
        <v>71</v>
      </c>
      <c r="W93" t="str">
        <f>"          1010947112"</f>
        <v xml:space="preserve">          1010947112</v>
      </c>
      <c r="X93" s="1">
        <v>5083.25</v>
      </c>
      <c r="Y93">
        <v>0</v>
      </c>
      <c r="Z93" s="5">
        <v>4166.6000000000004</v>
      </c>
      <c r="AA93" s="3">
        <v>201</v>
      </c>
      <c r="AB93" s="5">
        <v>837486.6</v>
      </c>
      <c r="AC93" s="1">
        <v>4166.6000000000004</v>
      </c>
      <c r="AD93">
        <v>201</v>
      </c>
      <c r="AE93" s="1">
        <v>837486.6</v>
      </c>
      <c r="AF93">
        <v>0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 s="2">
        <v>42831</v>
      </c>
      <c r="AQ93" t="s">
        <v>72</v>
      </c>
      <c r="AR93" t="s">
        <v>72</v>
      </c>
      <c r="AS93">
        <v>484</v>
      </c>
      <c r="AT93" s="4">
        <v>42782</v>
      </c>
      <c r="AU93" t="s">
        <v>73</v>
      </c>
      <c r="AV93">
        <v>484</v>
      </c>
      <c r="AW93" s="4">
        <v>42782</v>
      </c>
      <c r="BD93">
        <v>0</v>
      </c>
      <c r="BN93" t="s">
        <v>74</v>
      </c>
    </row>
    <row r="94" spans="1:66">
      <c r="A94">
        <v>100066</v>
      </c>
      <c r="B94" t="s">
        <v>90</v>
      </c>
      <c r="C94" s="1">
        <v>43300101</v>
      </c>
      <c r="D94" t="s">
        <v>67</v>
      </c>
      <c r="H94" t="str">
        <f t="shared" si="12"/>
        <v>04785851009</v>
      </c>
      <c r="I94" t="str">
        <f t="shared" si="13"/>
        <v>12268050155</v>
      </c>
      <c r="K94" t="str">
        <f>""</f>
        <v/>
      </c>
      <c r="M94" t="s">
        <v>68</v>
      </c>
      <c r="N94" t="str">
        <f t="shared" si="11"/>
        <v>FOR</v>
      </c>
      <c r="O94" t="s">
        <v>69</v>
      </c>
      <c r="P94" t="s">
        <v>75</v>
      </c>
      <c r="Q94">
        <v>2016</v>
      </c>
      <c r="R94" s="4">
        <v>42520</v>
      </c>
      <c r="S94" s="2">
        <v>42521</v>
      </c>
      <c r="T94" s="2">
        <v>42521</v>
      </c>
      <c r="U94" s="4">
        <v>42581</v>
      </c>
      <c r="V94" t="s">
        <v>71</v>
      </c>
      <c r="W94" t="str">
        <f>"          1010947113"</f>
        <v xml:space="preserve">          1010947113</v>
      </c>
      <c r="X94" s="1">
        <v>4574.88</v>
      </c>
      <c r="Y94">
        <v>0</v>
      </c>
      <c r="Z94" s="5">
        <v>3749.9</v>
      </c>
      <c r="AA94" s="3">
        <v>201</v>
      </c>
      <c r="AB94" s="5">
        <v>753729.9</v>
      </c>
      <c r="AC94" s="1">
        <v>3749.9</v>
      </c>
      <c r="AD94">
        <v>201</v>
      </c>
      <c r="AE94" s="1">
        <v>753729.9</v>
      </c>
      <c r="AF94">
        <v>0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 s="2">
        <v>42831</v>
      </c>
      <c r="AQ94" t="s">
        <v>72</v>
      </c>
      <c r="AR94" t="s">
        <v>72</v>
      </c>
      <c r="AS94">
        <v>484</v>
      </c>
      <c r="AT94" s="4">
        <v>42782</v>
      </c>
      <c r="AU94" t="s">
        <v>73</v>
      </c>
      <c r="AV94">
        <v>484</v>
      </c>
      <c r="AW94" s="4">
        <v>42782</v>
      </c>
      <c r="BD94">
        <v>0</v>
      </c>
      <c r="BN94" t="s">
        <v>74</v>
      </c>
    </row>
    <row r="95" spans="1:66">
      <c r="A95">
        <v>100066</v>
      </c>
      <c r="B95" t="s">
        <v>90</v>
      </c>
      <c r="C95" s="1">
        <v>43300101</v>
      </c>
      <c r="D95" t="s">
        <v>67</v>
      </c>
      <c r="H95" t="str">
        <f t="shared" si="12"/>
        <v>04785851009</v>
      </c>
      <c r="I95" t="str">
        <f t="shared" si="13"/>
        <v>12268050155</v>
      </c>
      <c r="K95" t="str">
        <f>""</f>
        <v/>
      </c>
      <c r="M95" t="s">
        <v>68</v>
      </c>
      <c r="N95" t="str">
        <f t="shared" si="11"/>
        <v>FOR</v>
      </c>
      <c r="O95" t="s">
        <v>69</v>
      </c>
      <c r="P95" t="s">
        <v>75</v>
      </c>
      <c r="Q95">
        <v>2016</v>
      </c>
      <c r="R95" s="4">
        <v>42520</v>
      </c>
      <c r="S95" s="2">
        <v>42522</v>
      </c>
      <c r="T95" s="2">
        <v>42521</v>
      </c>
      <c r="U95" s="4">
        <v>42581</v>
      </c>
      <c r="V95" t="s">
        <v>71</v>
      </c>
      <c r="W95" t="str">
        <f>"          1010947216"</f>
        <v xml:space="preserve">          1010947216</v>
      </c>
      <c r="X95" s="1">
        <v>2229.1799999999998</v>
      </c>
      <c r="Y95">
        <v>0</v>
      </c>
      <c r="Z95" s="5">
        <v>1827.2</v>
      </c>
      <c r="AA95" s="3">
        <v>201</v>
      </c>
      <c r="AB95" s="5">
        <v>367267.2</v>
      </c>
      <c r="AC95" s="1">
        <v>1827.2</v>
      </c>
      <c r="AD95">
        <v>201</v>
      </c>
      <c r="AE95" s="1">
        <v>367267.2</v>
      </c>
      <c r="AF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 s="2">
        <v>42831</v>
      </c>
      <c r="AQ95" t="s">
        <v>72</v>
      </c>
      <c r="AR95" t="s">
        <v>72</v>
      </c>
      <c r="AS95">
        <v>484</v>
      </c>
      <c r="AT95" s="4">
        <v>42782</v>
      </c>
      <c r="AU95" t="s">
        <v>73</v>
      </c>
      <c r="AV95">
        <v>484</v>
      </c>
      <c r="AW95" s="4">
        <v>42782</v>
      </c>
      <c r="BD95">
        <v>0</v>
      </c>
      <c r="BN95" t="s">
        <v>74</v>
      </c>
    </row>
    <row r="96" spans="1:66">
      <c r="A96">
        <v>100066</v>
      </c>
      <c r="B96" t="s">
        <v>90</v>
      </c>
      <c r="C96" s="1">
        <v>43300101</v>
      </c>
      <c r="D96" t="s">
        <v>67</v>
      </c>
      <c r="H96" t="str">
        <f t="shared" si="12"/>
        <v>04785851009</v>
      </c>
      <c r="I96" t="str">
        <f t="shared" si="13"/>
        <v>12268050155</v>
      </c>
      <c r="K96" t="str">
        <f>""</f>
        <v/>
      </c>
      <c r="M96" t="s">
        <v>68</v>
      </c>
      <c r="N96" t="str">
        <f t="shared" si="11"/>
        <v>FOR</v>
      </c>
      <c r="O96" t="s">
        <v>69</v>
      </c>
      <c r="P96" t="s">
        <v>75</v>
      </c>
      <c r="Q96">
        <v>2016</v>
      </c>
      <c r="R96" s="4">
        <v>42522</v>
      </c>
      <c r="S96" s="2">
        <v>42530</v>
      </c>
      <c r="T96" s="2">
        <v>42523</v>
      </c>
      <c r="U96" s="4">
        <v>42583</v>
      </c>
      <c r="V96" t="s">
        <v>71</v>
      </c>
      <c r="W96" t="str">
        <f>"          1010948150"</f>
        <v xml:space="preserve">          1010948150</v>
      </c>
      <c r="X96" s="1">
        <v>4775.8100000000004</v>
      </c>
      <c r="Y96">
        <v>0</v>
      </c>
      <c r="Z96" s="5">
        <v>3914.6</v>
      </c>
      <c r="AA96" s="3">
        <v>212</v>
      </c>
      <c r="AB96" s="5">
        <v>829895.2</v>
      </c>
      <c r="AC96" s="1">
        <v>3914.6</v>
      </c>
      <c r="AD96">
        <v>212</v>
      </c>
      <c r="AE96" s="1">
        <v>829895.2</v>
      </c>
      <c r="AF96">
        <v>861.21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 s="2">
        <v>42831</v>
      </c>
      <c r="AQ96" t="s">
        <v>72</v>
      </c>
      <c r="AR96" t="s">
        <v>72</v>
      </c>
      <c r="AS96">
        <v>671</v>
      </c>
      <c r="AT96" s="4">
        <v>42795</v>
      </c>
      <c r="AU96" t="s">
        <v>73</v>
      </c>
      <c r="AV96">
        <v>671</v>
      </c>
      <c r="AW96" s="4">
        <v>42795</v>
      </c>
      <c r="BD96">
        <v>861.21</v>
      </c>
      <c r="BN96" t="s">
        <v>74</v>
      </c>
    </row>
    <row r="97" spans="1:66">
      <c r="A97">
        <v>100066</v>
      </c>
      <c r="B97" t="s">
        <v>90</v>
      </c>
      <c r="C97" s="1">
        <v>43300101</v>
      </c>
      <c r="D97" t="s">
        <v>67</v>
      </c>
      <c r="H97" t="str">
        <f t="shared" si="12"/>
        <v>04785851009</v>
      </c>
      <c r="I97" t="str">
        <f t="shared" si="13"/>
        <v>12268050155</v>
      </c>
      <c r="K97" t="str">
        <f>""</f>
        <v/>
      </c>
      <c r="M97" t="s">
        <v>68</v>
      </c>
      <c r="N97" t="str">
        <f t="shared" si="11"/>
        <v>FOR</v>
      </c>
      <c r="O97" t="s">
        <v>69</v>
      </c>
      <c r="P97" t="s">
        <v>75</v>
      </c>
      <c r="Q97">
        <v>2016</v>
      </c>
      <c r="R97" s="4">
        <v>42528</v>
      </c>
      <c r="S97" s="2">
        <v>42534</v>
      </c>
      <c r="T97" s="2">
        <v>42529</v>
      </c>
      <c r="U97" s="4">
        <v>42589</v>
      </c>
      <c r="V97" t="s">
        <v>71</v>
      </c>
      <c r="W97" t="str">
        <f>"          1010948648"</f>
        <v xml:space="preserve">          1010948648</v>
      </c>
      <c r="X97">
        <v>244</v>
      </c>
      <c r="Y97">
        <v>0</v>
      </c>
      <c r="Z97" s="5">
        <v>200</v>
      </c>
      <c r="AA97" s="3">
        <v>206</v>
      </c>
      <c r="AB97" s="5">
        <v>41200</v>
      </c>
      <c r="AC97">
        <v>200</v>
      </c>
      <c r="AD97">
        <v>206</v>
      </c>
      <c r="AE97" s="1">
        <v>41200</v>
      </c>
      <c r="AF97">
        <v>44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 s="2">
        <v>42831</v>
      </c>
      <c r="AQ97" t="s">
        <v>72</v>
      </c>
      <c r="AR97" t="s">
        <v>72</v>
      </c>
      <c r="AS97">
        <v>671</v>
      </c>
      <c r="AT97" s="4">
        <v>42795</v>
      </c>
      <c r="AU97" t="s">
        <v>73</v>
      </c>
      <c r="AV97">
        <v>671</v>
      </c>
      <c r="AW97" s="4">
        <v>42795</v>
      </c>
      <c r="BD97">
        <v>44</v>
      </c>
      <c r="BN97" t="s">
        <v>74</v>
      </c>
    </row>
    <row r="98" spans="1:66">
      <c r="A98">
        <v>100066</v>
      </c>
      <c r="B98" t="s">
        <v>90</v>
      </c>
      <c r="C98" s="1">
        <v>43300101</v>
      </c>
      <c r="D98" t="s">
        <v>67</v>
      </c>
      <c r="H98" t="str">
        <f t="shared" si="12"/>
        <v>04785851009</v>
      </c>
      <c r="I98" t="str">
        <f t="shared" si="13"/>
        <v>12268050155</v>
      </c>
      <c r="K98" t="str">
        <f>""</f>
        <v/>
      </c>
      <c r="M98" t="s">
        <v>68</v>
      </c>
      <c r="N98" t="str">
        <f t="shared" si="11"/>
        <v>FOR</v>
      </c>
      <c r="O98" t="s">
        <v>69</v>
      </c>
      <c r="P98" t="s">
        <v>75</v>
      </c>
      <c r="Q98">
        <v>2016</v>
      </c>
      <c r="R98" s="4">
        <v>42528</v>
      </c>
      <c r="S98" s="2">
        <v>42530</v>
      </c>
      <c r="T98" s="2">
        <v>42529</v>
      </c>
      <c r="U98" s="4">
        <v>42589</v>
      </c>
      <c r="V98" t="s">
        <v>71</v>
      </c>
      <c r="W98" t="str">
        <f>"          1010948649"</f>
        <v xml:space="preserve">          1010948649</v>
      </c>
      <c r="X98" s="1">
        <v>1114.5899999999999</v>
      </c>
      <c r="Y98">
        <v>0</v>
      </c>
      <c r="Z98" s="5">
        <v>913.6</v>
      </c>
      <c r="AA98" s="3">
        <v>206</v>
      </c>
      <c r="AB98" s="5">
        <v>188201.60000000001</v>
      </c>
      <c r="AC98">
        <v>913.6</v>
      </c>
      <c r="AD98">
        <v>206</v>
      </c>
      <c r="AE98" s="1">
        <v>188201.60000000001</v>
      </c>
      <c r="AF98">
        <v>200.99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 s="2">
        <v>42831</v>
      </c>
      <c r="AQ98" t="s">
        <v>72</v>
      </c>
      <c r="AR98" t="s">
        <v>72</v>
      </c>
      <c r="AS98">
        <v>671</v>
      </c>
      <c r="AT98" s="4">
        <v>42795</v>
      </c>
      <c r="AU98" t="s">
        <v>73</v>
      </c>
      <c r="AV98">
        <v>671</v>
      </c>
      <c r="AW98" s="4">
        <v>42795</v>
      </c>
      <c r="BD98">
        <v>200.99</v>
      </c>
      <c r="BN98" t="s">
        <v>74</v>
      </c>
    </row>
    <row r="99" spans="1:66">
      <c r="A99">
        <v>100066</v>
      </c>
      <c r="B99" t="s">
        <v>90</v>
      </c>
      <c r="C99" s="1">
        <v>43300101</v>
      </c>
      <c r="D99" t="s">
        <v>67</v>
      </c>
      <c r="H99" t="str">
        <f t="shared" si="12"/>
        <v>04785851009</v>
      </c>
      <c r="I99" t="str">
        <f t="shared" si="13"/>
        <v>12268050155</v>
      </c>
      <c r="K99" t="str">
        <f>""</f>
        <v/>
      </c>
      <c r="M99" t="s">
        <v>68</v>
      </c>
      <c r="N99" t="str">
        <f t="shared" si="11"/>
        <v>FOR</v>
      </c>
      <c r="O99" t="s">
        <v>69</v>
      </c>
      <c r="P99" t="s">
        <v>75</v>
      </c>
      <c r="Q99">
        <v>2016</v>
      </c>
      <c r="R99" s="4">
        <v>42529</v>
      </c>
      <c r="S99" s="2">
        <v>42530</v>
      </c>
      <c r="T99" s="2">
        <v>42530</v>
      </c>
      <c r="U99" s="4">
        <v>42590</v>
      </c>
      <c r="V99" t="s">
        <v>71</v>
      </c>
      <c r="W99" t="str">
        <f>"          1010948930"</f>
        <v xml:space="preserve">          1010948930</v>
      </c>
      <c r="X99" s="1">
        <v>12372.02</v>
      </c>
      <c r="Y99">
        <v>0</v>
      </c>
      <c r="Z99" s="5">
        <v>10141</v>
      </c>
      <c r="AA99" s="3">
        <v>205</v>
      </c>
      <c r="AB99" s="5">
        <v>2078905</v>
      </c>
      <c r="AC99" s="1">
        <v>10141</v>
      </c>
      <c r="AD99">
        <v>205</v>
      </c>
      <c r="AE99" s="1">
        <v>2078905</v>
      </c>
      <c r="AF99" s="1">
        <v>2231.02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 s="2">
        <v>42831</v>
      </c>
      <c r="AQ99" t="s">
        <v>72</v>
      </c>
      <c r="AR99" t="s">
        <v>72</v>
      </c>
      <c r="AS99">
        <v>671</v>
      </c>
      <c r="AT99" s="4">
        <v>42795</v>
      </c>
      <c r="AU99" t="s">
        <v>73</v>
      </c>
      <c r="AV99">
        <v>671</v>
      </c>
      <c r="AW99" s="4">
        <v>42795</v>
      </c>
      <c r="BD99" s="1">
        <v>2231.02</v>
      </c>
      <c r="BN99" t="s">
        <v>74</v>
      </c>
    </row>
    <row r="100" spans="1:66">
      <c r="A100">
        <v>100066</v>
      </c>
      <c r="B100" t="s">
        <v>90</v>
      </c>
      <c r="C100" s="1">
        <v>43300101</v>
      </c>
      <c r="D100" t="s">
        <v>67</v>
      </c>
      <c r="H100" t="str">
        <f t="shared" si="12"/>
        <v>04785851009</v>
      </c>
      <c r="I100" t="str">
        <f t="shared" si="13"/>
        <v>12268050155</v>
      </c>
      <c r="K100" t="str">
        <f>""</f>
        <v/>
      </c>
      <c r="M100" t="s">
        <v>68</v>
      </c>
      <c r="N100" t="str">
        <f t="shared" si="11"/>
        <v>FOR</v>
      </c>
      <c r="O100" t="s">
        <v>69</v>
      </c>
      <c r="P100" t="s">
        <v>75</v>
      </c>
      <c r="Q100">
        <v>2016</v>
      </c>
      <c r="R100" s="4">
        <v>42534</v>
      </c>
      <c r="S100" s="2">
        <v>42535</v>
      </c>
      <c r="T100" s="2">
        <v>42535</v>
      </c>
      <c r="U100" s="4">
        <v>42595</v>
      </c>
      <c r="V100" t="s">
        <v>71</v>
      </c>
      <c r="W100" t="str">
        <f>"          1010949501"</f>
        <v xml:space="preserve">          1010949501</v>
      </c>
      <c r="X100" s="1">
        <v>2196</v>
      </c>
      <c r="Y100">
        <v>0</v>
      </c>
      <c r="Z100" s="5">
        <v>1800</v>
      </c>
      <c r="AA100" s="3">
        <v>200</v>
      </c>
      <c r="AB100" s="5">
        <v>360000</v>
      </c>
      <c r="AC100" s="1">
        <v>1800</v>
      </c>
      <c r="AD100">
        <v>200</v>
      </c>
      <c r="AE100" s="1">
        <v>360000</v>
      </c>
      <c r="AF100">
        <v>396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 s="2">
        <v>42831</v>
      </c>
      <c r="AQ100" t="s">
        <v>72</v>
      </c>
      <c r="AR100" t="s">
        <v>72</v>
      </c>
      <c r="AS100">
        <v>671</v>
      </c>
      <c r="AT100" s="4">
        <v>42795</v>
      </c>
      <c r="AU100" t="s">
        <v>73</v>
      </c>
      <c r="AV100">
        <v>671</v>
      </c>
      <c r="AW100" s="4">
        <v>42795</v>
      </c>
      <c r="BD100">
        <v>396</v>
      </c>
      <c r="BN100" t="s">
        <v>74</v>
      </c>
    </row>
    <row r="101" spans="1:66">
      <c r="A101">
        <v>100066</v>
      </c>
      <c r="B101" t="s">
        <v>90</v>
      </c>
      <c r="C101" s="1">
        <v>43300101</v>
      </c>
      <c r="D101" t="s">
        <v>67</v>
      </c>
      <c r="H101" t="str">
        <f t="shared" si="12"/>
        <v>04785851009</v>
      </c>
      <c r="I101" t="str">
        <f t="shared" si="13"/>
        <v>12268050155</v>
      </c>
      <c r="K101" t="str">
        <f>""</f>
        <v/>
      </c>
      <c r="M101" t="s">
        <v>68</v>
      </c>
      <c r="N101" t="str">
        <f t="shared" si="11"/>
        <v>FOR</v>
      </c>
      <c r="O101" t="s">
        <v>69</v>
      </c>
      <c r="P101" t="s">
        <v>75</v>
      </c>
      <c r="Q101">
        <v>2016</v>
      </c>
      <c r="R101" s="4">
        <v>42534</v>
      </c>
      <c r="S101" s="2">
        <v>42535</v>
      </c>
      <c r="T101" s="2">
        <v>42535</v>
      </c>
      <c r="U101" s="4">
        <v>42595</v>
      </c>
      <c r="V101" t="s">
        <v>71</v>
      </c>
      <c r="W101" t="str">
        <f>"          1010949502"</f>
        <v xml:space="preserve">          1010949502</v>
      </c>
      <c r="X101" s="1">
        <v>20056.8</v>
      </c>
      <c r="Y101">
        <v>0</v>
      </c>
      <c r="Z101" s="5">
        <v>16440</v>
      </c>
      <c r="AA101" s="3">
        <v>200</v>
      </c>
      <c r="AB101" s="5">
        <v>3288000</v>
      </c>
      <c r="AC101" s="1">
        <v>16440</v>
      </c>
      <c r="AD101">
        <v>200</v>
      </c>
      <c r="AE101" s="1">
        <v>3288000</v>
      </c>
      <c r="AF101" s="1">
        <v>3616.8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 s="2">
        <v>42831</v>
      </c>
      <c r="AQ101" t="s">
        <v>72</v>
      </c>
      <c r="AR101" t="s">
        <v>72</v>
      </c>
      <c r="AS101">
        <v>671</v>
      </c>
      <c r="AT101" s="4">
        <v>42795</v>
      </c>
      <c r="AU101" t="s">
        <v>73</v>
      </c>
      <c r="AV101">
        <v>671</v>
      </c>
      <c r="AW101" s="4">
        <v>42795</v>
      </c>
      <c r="BD101" s="1">
        <v>3616.8</v>
      </c>
      <c r="BN101" t="s">
        <v>74</v>
      </c>
    </row>
    <row r="102" spans="1:66">
      <c r="A102">
        <v>100066</v>
      </c>
      <c r="B102" t="s">
        <v>90</v>
      </c>
      <c r="C102" s="1">
        <v>43300101</v>
      </c>
      <c r="D102" t="s">
        <v>67</v>
      </c>
      <c r="H102" t="str">
        <f t="shared" si="12"/>
        <v>04785851009</v>
      </c>
      <c r="I102" t="str">
        <f t="shared" si="13"/>
        <v>12268050155</v>
      </c>
      <c r="K102" t="str">
        <f>""</f>
        <v/>
      </c>
      <c r="M102" t="s">
        <v>68</v>
      </c>
      <c r="N102" t="str">
        <f t="shared" si="11"/>
        <v>FOR</v>
      </c>
      <c r="O102" t="s">
        <v>69</v>
      </c>
      <c r="P102" t="s">
        <v>75</v>
      </c>
      <c r="Q102">
        <v>2016</v>
      </c>
      <c r="R102" s="4">
        <v>42534</v>
      </c>
      <c r="S102" s="2">
        <v>42535</v>
      </c>
      <c r="T102" s="2">
        <v>42535</v>
      </c>
      <c r="U102" s="4">
        <v>42595</v>
      </c>
      <c r="V102" t="s">
        <v>71</v>
      </c>
      <c r="W102" t="str">
        <f>"          1010949503"</f>
        <v xml:space="preserve">          1010949503</v>
      </c>
      <c r="X102" s="1">
        <v>20833.939999999999</v>
      </c>
      <c r="Y102">
        <v>0</v>
      </c>
      <c r="Z102" s="5">
        <v>17077</v>
      </c>
      <c r="AA102" s="3">
        <v>200</v>
      </c>
      <c r="AB102" s="5">
        <v>3415400</v>
      </c>
      <c r="AC102" s="1">
        <v>17077</v>
      </c>
      <c r="AD102">
        <v>200</v>
      </c>
      <c r="AE102" s="1">
        <v>3415400</v>
      </c>
      <c r="AF102" s="1">
        <v>3756.94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 s="2">
        <v>42831</v>
      </c>
      <c r="AQ102" t="s">
        <v>72</v>
      </c>
      <c r="AR102" t="s">
        <v>72</v>
      </c>
      <c r="AS102">
        <v>671</v>
      </c>
      <c r="AT102" s="4">
        <v>42795</v>
      </c>
      <c r="AU102" t="s">
        <v>73</v>
      </c>
      <c r="AV102">
        <v>671</v>
      </c>
      <c r="AW102" s="4">
        <v>42795</v>
      </c>
      <c r="BD102" s="1">
        <v>3756.94</v>
      </c>
      <c r="BN102" t="s">
        <v>74</v>
      </c>
    </row>
    <row r="103" spans="1:66">
      <c r="A103">
        <v>100066</v>
      </c>
      <c r="B103" t="s">
        <v>90</v>
      </c>
      <c r="C103" s="1">
        <v>43300101</v>
      </c>
      <c r="D103" t="s">
        <v>67</v>
      </c>
      <c r="H103" t="str">
        <f t="shared" si="12"/>
        <v>04785851009</v>
      </c>
      <c r="I103" t="str">
        <f t="shared" si="13"/>
        <v>12268050155</v>
      </c>
      <c r="K103" t="str">
        <f>""</f>
        <v/>
      </c>
      <c r="M103" t="s">
        <v>68</v>
      </c>
      <c r="N103" t="str">
        <f t="shared" si="11"/>
        <v>FOR</v>
      </c>
      <c r="O103" t="s">
        <v>69</v>
      </c>
      <c r="P103" t="s">
        <v>75</v>
      </c>
      <c r="Q103">
        <v>2016</v>
      </c>
      <c r="R103" s="4">
        <v>42534</v>
      </c>
      <c r="S103" s="2">
        <v>42535</v>
      </c>
      <c r="T103" s="2">
        <v>42535</v>
      </c>
      <c r="U103" s="4">
        <v>42595</v>
      </c>
      <c r="V103" t="s">
        <v>71</v>
      </c>
      <c r="W103" t="str">
        <f>"          1010949504"</f>
        <v xml:space="preserve">          1010949504</v>
      </c>
      <c r="X103" s="1">
        <v>29572.799999999999</v>
      </c>
      <c r="Y103">
        <v>0</v>
      </c>
      <c r="Z103" s="5">
        <v>24240</v>
      </c>
      <c r="AA103" s="3">
        <v>200</v>
      </c>
      <c r="AB103" s="5">
        <v>4848000</v>
      </c>
      <c r="AC103" s="1">
        <v>24240</v>
      </c>
      <c r="AD103">
        <v>200</v>
      </c>
      <c r="AE103" s="1">
        <v>4848000</v>
      </c>
      <c r="AF103" s="1">
        <v>5332.8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 s="2">
        <v>42831</v>
      </c>
      <c r="AQ103" t="s">
        <v>72</v>
      </c>
      <c r="AR103" t="s">
        <v>72</v>
      </c>
      <c r="AS103">
        <v>671</v>
      </c>
      <c r="AT103" s="4">
        <v>42795</v>
      </c>
      <c r="AU103" t="s">
        <v>73</v>
      </c>
      <c r="AV103">
        <v>671</v>
      </c>
      <c r="AW103" s="4">
        <v>42795</v>
      </c>
      <c r="BD103" s="1">
        <v>5332.8</v>
      </c>
      <c r="BN103" t="s">
        <v>74</v>
      </c>
    </row>
    <row r="104" spans="1:66">
      <c r="A104">
        <v>100066</v>
      </c>
      <c r="B104" t="s">
        <v>90</v>
      </c>
      <c r="C104" s="1">
        <v>43300101</v>
      </c>
      <c r="D104" t="s">
        <v>67</v>
      </c>
      <c r="H104" t="str">
        <f t="shared" si="12"/>
        <v>04785851009</v>
      </c>
      <c r="I104" t="str">
        <f t="shared" si="13"/>
        <v>12268050155</v>
      </c>
      <c r="K104" t="str">
        <f>""</f>
        <v/>
      </c>
      <c r="M104" t="s">
        <v>68</v>
      </c>
      <c r="N104" t="str">
        <f t="shared" si="11"/>
        <v>FOR</v>
      </c>
      <c r="O104" t="s">
        <v>69</v>
      </c>
      <c r="P104" t="s">
        <v>75</v>
      </c>
      <c r="Q104">
        <v>2016</v>
      </c>
      <c r="R104" s="4">
        <v>42543</v>
      </c>
      <c r="S104" s="2">
        <v>42545</v>
      </c>
      <c r="T104" s="2">
        <v>42544</v>
      </c>
      <c r="U104" s="4">
        <v>42604</v>
      </c>
      <c r="V104" t="s">
        <v>71</v>
      </c>
      <c r="W104" t="str">
        <f>"          1010951518"</f>
        <v xml:space="preserve">          1010951518</v>
      </c>
      <c r="X104" s="1">
        <v>4066.66</v>
      </c>
      <c r="Y104">
        <v>0</v>
      </c>
      <c r="Z104" s="5">
        <v>3333.33</v>
      </c>
      <c r="AA104" s="3">
        <v>191</v>
      </c>
      <c r="AB104" s="5">
        <v>636666.03</v>
      </c>
      <c r="AC104" s="1">
        <v>3333.33</v>
      </c>
      <c r="AD104">
        <v>191</v>
      </c>
      <c r="AE104" s="1">
        <v>636666.03</v>
      </c>
      <c r="AF104">
        <v>733.33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 s="2">
        <v>42831</v>
      </c>
      <c r="AQ104" t="s">
        <v>72</v>
      </c>
      <c r="AR104" t="s">
        <v>72</v>
      </c>
      <c r="AS104">
        <v>671</v>
      </c>
      <c r="AT104" s="4">
        <v>42795</v>
      </c>
      <c r="AU104" t="s">
        <v>73</v>
      </c>
      <c r="AV104">
        <v>671</v>
      </c>
      <c r="AW104" s="4">
        <v>42795</v>
      </c>
      <c r="BD104">
        <v>733.33</v>
      </c>
      <c r="BN104" t="s">
        <v>74</v>
      </c>
    </row>
    <row r="105" spans="1:66">
      <c r="A105">
        <v>100066</v>
      </c>
      <c r="B105" t="s">
        <v>90</v>
      </c>
      <c r="C105" s="1">
        <v>43300101</v>
      </c>
      <c r="D105" t="s">
        <v>67</v>
      </c>
      <c r="H105" t="str">
        <f t="shared" si="12"/>
        <v>04785851009</v>
      </c>
      <c r="I105" t="str">
        <f t="shared" si="13"/>
        <v>12268050155</v>
      </c>
      <c r="K105" t="str">
        <f>""</f>
        <v/>
      </c>
      <c r="M105" t="s">
        <v>68</v>
      </c>
      <c r="N105" t="str">
        <f t="shared" si="11"/>
        <v>FOR</v>
      </c>
      <c r="O105" t="s">
        <v>69</v>
      </c>
      <c r="P105" t="s">
        <v>75</v>
      </c>
      <c r="Q105">
        <v>2016</v>
      </c>
      <c r="R105" s="4">
        <v>42543</v>
      </c>
      <c r="S105" s="2">
        <v>42545</v>
      </c>
      <c r="T105" s="2">
        <v>42544</v>
      </c>
      <c r="U105" s="4">
        <v>42604</v>
      </c>
      <c r="V105" t="s">
        <v>71</v>
      </c>
      <c r="W105" t="str">
        <f>"          1010951519"</f>
        <v xml:space="preserve">          1010951519</v>
      </c>
      <c r="X105">
        <v>546.23</v>
      </c>
      <c r="Y105">
        <v>0</v>
      </c>
      <c r="Z105" s="5">
        <v>447.73</v>
      </c>
      <c r="AA105" s="3">
        <v>191</v>
      </c>
      <c r="AB105" s="5">
        <v>85516.43</v>
      </c>
      <c r="AC105">
        <v>447.73</v>
      </c>
      <c r="AD105">
        <v>191</v>
      </c>
      <c r="AE105" s="1">
        <v>85516.43</v>
      </c>
      <c r="AF105">
        <v>98.5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 s="2">
        <v>42831</v>
      </c>
      <c r="AQ105" t="s">
        <v>72</v>
      </c>
      <c r="AR105" t="s">
        <v>72</v>
      </c>
      <c r="AS105">
        <v>671</v>
      </c>
      <c r="AT105" s="4">
        <v>42795</v>
      </c>
      <c r="AU105" t="s">
        <v>73</v>
      </c>
      <c r="AV105">
        <v>671</v>
      </c>
      <c r="AW105" s="4">
        <v>42795</v>
      </c>
      <c r="BD105">
        <v>98.5</v>
      </c>
      <c r="BN105" t="s">
        <v>74</v>
      </c>
    </row>
    <row r="106" spans="1:66">
      <c r="A106">
        <v>100066</v>
      </c>
      <c r="B106" t="s">
        <v>90</v>
      </c>
      <c r="C106" s="1">
        <v>43300101</v>
      </c>
      <c r="D106" t="s">
        <v>67</v>
      </c>
      <c r="H106" t="str">
        <f t="shared" si="12"/>
        <v>04785851009</v>
      </c>
      <c r="I106" t="str">
        <f t="shared" si="13"/>
        <v>12268050155</v>
      </c>
      <c r="K106" t="str">
        <f>""</f>
        <v/>
      </c>
      <c r="M106" t="s">
        <v>68</v>
      </c>
      <c r="N106" t="str">
        <f t="shared" si="11"/>
        <v>FOR</v>
      </c>
      <c r="O106" t="s">
        <v>69</v>
      </c>
      <c r="P106" t="s">
        <v>75</v>
      </c>
      <c r="Q106">
        <v>2016</v>
      </c>
      <c r="R106" s="4">
        <v>42543</v>
      </c>
      <c r="S106" s="2">
        <v>42545</v>
      </c>
      <c r="T106" s="2">
        <v>42544</v>
      </c>
      <c r="U106" s="4">
        <v>42604</v>
      </c>
      <c r="V106" t="s">
        <v>71</v>
      </c>
      <c r="W106" t="str">
        <f>"          1010951520"</f>
        <v xml:space="preserve">          1010951520</v>
      </c>
      <c r="X106" s="1">
        <v>20333.25</v>
      </c>
      <c r="Y106">
        <v>0</v>
      </c>
      <c r="Z106" s="5">
        <v>16666.599999999999</v>
      </c>
      <c r="AA106" s="3">
        <v>191</v>
      </c>
      <c r="AB106" s="5">
        <v>3183320.6</v>
      </c>
      <c r="AC106" s="1">
        <v>16666.599999999999</v>
      </c>
      <c r="AD106">
        <v>191</v>
      </c>
      <c r="AE106" s="1">
        <v>3183320.6</v>
      </c>
      <c r="AF106" s="1">
        <v>3666.65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 s="2">
        <v>42831</v>
      </c>
      <c r="AQ106" t="s">
        <v>72</v>
      </c>
      <c r="AR106" t="s">
        <v>72</v>
      </c>
      <c r="AS106">
        <v>671</v>
      </c>
      <c r="AT106" s="4">
        <v>42795</v>
      </c>
      <c r="AU106" t="s">
        <v>73</v>
      </c>
      <c r="AV106">
        <v>671</v>
      </c>
      <c r="AW106" s="4">
        <v>42795</v>
      </c>
      <c r="BD106" s="1">
        <v>3666.65</v>
      </c>
      <c r="BN106" t="s">
        <v>74</v>
      </c>
    </row>
    <row r="107" spans="1:66">
      <c r="A107">
        <v>100066</v>
      </c>
      <c r="B107" t="s">
        <v>90</v>
      </c>
      <c r="C107" s="1">
        <v>43300101</v>
      </c>
      <c r="D107" t="s">
        <v>67</v>
      </c>
      <c r="H107" t="str">
        <f t="shared" si="12"/>
        <v>04785851009</v>
      </c>
      <c r="I107" t="str">
        <f t="shared" si="13"/>
        <v>12268050155</v>
      </c>
      <c r="K107" t="str">
        <f>""</f>
        <v/>
      </c>
      <c r="M107" t="s">
        <v>68</v>
      </c>
      <c r="N107" t="str">
        <f t="shared" si="11"/>
        <v>FOR</v>
      </c>
      <c r="O107" t="s">
        <v>69</v>
      </c>
      <c r="P107" t="s">
        <v>75</v>
      </c>
      <c r="Q107">
        <v>2016</v>
      </c>
      <c r="R107" s="4">
        <v>42543</v>
      </c>
      <c r="S107" s="2">
        <v>42545</v>
      </c>
      <c r="T107" s="2">
        <v>42544</v>
      </c>
      <c r="U107" s="4">
        <v>42604</v>
      </c>
      <c r="V107" t="s">
        <v>71</v>
      </c>
      <c r="W107" t="str">
        <f>"          1010951521"</f>
        <v xml:space="preserve">          1010951521</v>
      </c>
      <c r="X107" s="1">
        <v>34973.25</v>
      </c>
      <c r="Y107">
        <v>0</v>
      </c>
      <c r="Z107" s="5">
        <v>28666.6</v>
      </c>
      <c r="AA107" s="3">
        <v>191</v>
      </c>
      <c r="AB107" s="5">
        <v>5475320.5999999996</v>
      </c>
      <c r="AC107" s="1">
        <v>28666.6</v>
      </c>
      <c r="AD107">
        <v>191</v>
      </c>
      <c r="AE107" s="1">
        <v>5475320.5999999996</v>
      </c>
      <c r="AF107" s="1">
        <v>6306.65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 s="2">
        <v>42831</v>
      </c>
      <c r="AQ107" t="s">
        <v>72</v>
      </c>
      <c r="AR107" t="s">
        <v>72</v>
      </c>
      <c r="AS107">
        <v>671</v>
      </c>
      <c r="AT107" s="4">
        <v>42795</v>
      </c>
      <c r="AU107" t="s">
        <v>73</v>
      </c>
      <c r="AV107">
        <v>671</v>
      </c>
      <c r="AW107" s="4">
        <v>42795</v>
      </c>
      <c r="BD107" s="1">
        <v>6306.65</v>
      </c>
      <c r="BN107" t="s">
        <v>74</v>
      </c>
    </row>
    <row r="108" spans="1:66">
      <c r="A108">
        <v>100066</v>
      </c>
      <c r="B108" t="s">
        <v>90</v>
      </c>
      <c r="C108" s="1">
        <v>43300101</v>
      </c>
      <c r="D108" t="s">
        <v>67</v>
      </c>
      <c r="H108" t="str">
        <f t="shared" si="12"/>
        <v>04785851009</v>
      </c>
      <c r="I108" t="str">
        <f t="shared" si="13"/>
        <v>12268050155</v>
      </c>
      <c r="K108" t="str">
        <f>""</f>
        <v/>
      </c>
      <c r="M108" t="s">
        <v>68</v>
      </c>
      <c r="N108" t="str">
        <f t="shared" ref="N108:N140" si="14">"FOR"</f>
        <v>FOR</v>
      </c>
      <c r="O108" t="s">
        <v>69</v>
      </c>
      <c r="P108" t="s">
        <v>75</v>
      </c>
      <c r="Q108">
        <v>2016</v>
      </c>
      <c r="R108" s="4">
        <v>42543</v>
      </c>
      <c r="S108" s="2">
        <v>42545</v>
      </c>
      <c r="T108" s="2">
        <v>42544</v>
      </c>
      <c r="U108" s="4">
        <v>42604</v>
      </c>
      <c r="V108" t="s">
        <v>71</v>
      </c>
      <c r="W108" t="str">
        <f>"          1010951522"</f>
        <v xml:space="preserve">          1010951522</v>
      </c>
      <c r="X108" s="1">
        <v>2643.25</v>
      </c>
      <c r="Y108">
        <v>0</v>
      </c>
      <c r="Z108" s="5">
        <v>2166.6</v>
      </c>
      <c r="AA108" s="3">
        <v>191</v>
      </c>
      <c r="AB108" s="5">
        <v>413820.6</v>
      </c>
      <c r="AC108" s="1">
        <v>2166.6</v>
      </c>
      <c r="AD108">
        <v>191</v>
      </c>
      <c r="AE108" s="1">
        <v>413820.6</v>
      </c>
      <c r="AF108">
        <v>476.65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 s="2">
        <v>42831</v>
      </c>
      <c r="AQ108" t="s">
        <v>72</v>
      </c>
      <c r="AR108" t="s">
        <v>72</v>
      </c>
      <c r="AS108">
        <v>671</v>
      </c>
      <c r="AT108" s="4">
        <v>42795</v>
      </c>
      <c r="AU108" t="s">
        <v>73</v>
      </c>
      <c r="AV108">
        <v>671</v>
      </c>
      <c r="AW108" s="4">
        <v>42795</v>
      </c>
      <c r="BD108">
        <v>476.65</v>
      </c>
      <c r="BN108" t="s">
        <v>74</v>
      </c>
    </row>
    <row r="109" spans="1:66">
      <c r="A109">
        <v>100066</v>
      </c>
      <c r="B109" t="s">
        <v>90</v>
      </c>
      <c r="C109" s="1">
        <v>43300101</v>
      </c>
      <c r="D109" t="s">
        <v>67</v>
      </c>
      <c r="H109" t="str">
        <f t="shared" si="12"/>
        <v>04785851009</v>
      </c>
      <c r="I109" t="str">
        <f t="shared" si="13"/>
        <v>12268050155</v>
      </c>
      <c r="K109" t="str">
        <f>""</f>
        <v/>
      </c>
      <c r="M109" t="s">
        <v>68</v>
      </c>
      <c r="N109" t="str">
        <f t="shared" si="14"/>
        <v>FOR</v>
      </c>
      <c r="O109" t="s">
        <v>69</v>
      </c>
      <c r="P109" t="s">
        <v>75</v>
      </c>
      <c r="Q109">
        <v>2016</v>
      </c>
      <c r="R109" s="4">
        <v>42543</v>
      </c>
      <c r="S109" s="2">
        <v>42545</v>
      </c>
      <c r="T109" s="2">
        <v>42544</v>
      </c>
      <c r="U109" s="4">
        <v>42604</v>
      </c>
      <c r="V109" t="s">
        <v>71</v>
      </c>
      <c r="W109" t="str">
        <f>"          1010951523"</f>
        <v xml:space="preserve">          1010951523</v>
      </c>
      <c r="X109" s="1">
        <v>3050</v>
      </c>
      <c r="Y109">
        <v>0</v>
      </c>
      <c r="Z109" s="5">
        <v>2500</v>
      </c>
      <c r="AA109" s="3">
        <v>191</v>
      </c>
      <c r="AB109" s="5">
        <v>477500</v>
      </c>
      <c r="AC109" s="1">
        <v>2500</v>
      </c>
      <c r="AD109">
        <v>191</v>
      </c>
      <c r="AE109" s="1">
        <v>477500</v>
      </c>
      <c r="AF109">
        <v>550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 s="2">
        <v>42831</v>
      </c>
      <c r="AQ109" t="s">
        <v>72</v>
      </c>
      <c r="AR109" t="s">
        <v>72</v>
      </c>
      <c r="AS109">
        <v>671</v>
      </c>
      <c r="AT109" s="4">
        <v>42795</v>
      </c>
      <c r="AU109" t="s">
        <v>73</v>
      </c>
      <c r="AV109">
        <v>671</v>
      </c>
      <c r="AW109" s="4">
        <v>42795</v>
      </c>
      <c r="BD109">
        <v>550</v>
      </c>
      <c r="BN109" t="s">
        <v>74</v>
      </c>
    </row>
    <row r="110" spans="1:66">
      <c r="A110">
        <v>100066</v>
      </c>
      <c r="B110" t="s">
        <v>90</v>
      </c>
      <c r="C110" s="1">
        <v>43300101</v>
      </c>
      <c r="D110" t="s">
        <v>67</v>
      </c>
      <c r="H110" t="str">
        <f t="shared" si="12"/>
        <v>04785851009</v>
      </c>
      <c r="I110" t="str">
        <f t="shared" si="13"/>
        <v>12268050155</v>
      </c>
      <c r="K110" t="str">
        <f>""</f>
        <v/>
      </c>
      <c r="M110" t="s">
        <v>68</v>
      </c>
      <c r="N110" t="str">
        <f t="shared" si="14"/>
        <v>FOR</v>
      </c>
      <c r="O110" t="s">
        <v>69</v>
      </c>
      <c r="P110" t="s">
        <v>75</v>
      </c>
      <c r="Q110">
        <v>2016</v>
      </c>
      <c r="R110" s="4">
        <v>42543</v>
      </c>
      <c r="S110" s="2">
        <v>42545</v>
      </c>
      <c r="T110" s="2">
        <v>42544</v>
      </c>
      <c r="U110" s="4">
        <v>42604</v>
      </c>
      <c r="V110" t="s">
        <v>71</v>
      </c>
      <c r="W110" t="str">
        <f>"          1010951524"</f>
        <v xml:space="preserve">          1010951524</v>
      </c>
      <c r="X110" s="1">
        <v>2745</v>
      </c>
      <c r="Y110">
        <v>0</v>
      </c>
      <c r="Z110" s="5">
        <v>2250</v>
      </c>
      <c r="AA110" s="3">
        <v>191</v>
      </c>
      <c r="AB110" s="5">
        <v>429750</v>
      </c>
      <c r="AC110" s="1">
        <v>2250</v>
      </c>
      <c r="AD110">
        <v>191</v>
      </c>
      <c r="AE110" s="1">
        <v>429750</v>
      </c>
      <c r="AF110">
        <v>495</v>
      </c>
      <c r="AJ110">
        <v>0</v>
      </c>
      <c r="AK110">
        <v>0</v>
      </c>
      <c r="AL110">
        <v>0</v>
      </c>
      <c r="AM110">
        <v>0</v>
      </c>
      <c r="AN110">
        <v>0</v>
      </c>
      <c r="AO110">
        <v>0</v>
      </c>
      <c r="AP110" s="2">
        <v>42831</v>
      </c>
      <c r="AQ110" t="s">
        <v>72</v>
      </c>
      <c r="AR110" t="s">
        <v>72</v>
      </c>
      <c r="AS110">
        <v>671</v>
      </c>
      <c r="AT110" s="4">
        <v>42795</v>
      </c>
      <c r="AU110" t="s">
        <v>73</v>
      </c>
      <c r="AV110">
        <v>671</v>
      </c>
      <c r="AW110" s="4">
        <v>42795</v>
      </c>
      <c r="BD110">
        <v>495</v>
      </c>
      <c r="BN110" t="s">
        <v>74</v>
      </c>
    </row>
    <row r="111" spans="1:66">
      <c r="A111">
        <v>100066</v>
      </c>
      <c r="B111" t="s">
        <v>90</v>
      </c>
      <c r="C111" s="1">
        <v>43300101</v>
      </c>
      <c r="D111" t="s">
        <v>67</v>
      </c>
      <c r="H111" t="str">
        <f t="shared" si="12"/>
        <v>04785851009</v>
      </c>
      <c r="I111" t="str">
        <f t="shared" si="13"/>
        <v>12268050155</v>
      </c>
      <c r="K111" t="str">
        <f>""</f>
        <v/>
      </c>
      <c r="M111" t="s">
        <v>68</v>
      </c>
      <c r="N111" t="str">
        <f t="shared" si="14"/>
        <v>FOR</v>
      </c>
      <c r="O111" t="s">
        <v>69</v>
      </c>
      <c r="P111" t="s">
        <v>75</v>
      </c>
      <c r="Q111">
        <v>2016</v>
      </c>
      <c r="R111" s="4">
        <v>42545</v>
      </c>
      <c r="S111" s="2">
        <v>42550</v>
      </c>
      <c r="T111" s="2">
        <v>42546</v>
      </c>
      <c r="U111" s="4">
        <v>42606</v>
      </c>
      <c r="V111" t="s">
        <v>71</v>
      </c>
      <c r="W111" t="str">
        <f>"          1010952646"</f>
        <v xml:space="preserve">          1010952646</v>
      </c>
      <c r="X111" s="1">
        <v>3343.78</v>
      </c>
      <c r="Y111">
        <v>0</v>
      </c>
      <c r="Z111" s="5">
        <v>2740.8</v>
      </c>
      <c r="AA111" s="3">
        <v>189</v>
      </c>
      <c r="AB111" s="5">
        <v>518011.2</v>
      </c>
      <c r="AC111" s="1">
        <v>2740.8</v>
      </c>
      <c r="AD111">
        <v>189</v>
      </c>
      <c r="AE111" s="1">
        <v>518011.2</v>
      </c>
      <c r="AF111">
        <v>602.98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 s="2">
        <v>42831</v>
      </c>
      <c r="AQ111" t="s">
        <v>72</v>
      </c>
      <c r="AR111" t="s">
        <v>72</v>
      </c>
      <c r="AS111">
        <v>671</v>
      </c>
      <c r="AT111" s="4">
        <v>42795</v>
      </c>
      <c r="AU111" t="s">
        <v>73</v>
      </c>
      <c r="AV111">
        <v>671</v>
      </c>
      <c r="AW111" s="4">
        <v>42795</v>
      </c>
      <c r="BD111">
        <v>602.98</v>
      </c>
      <c r="BN111" t="s">
        <v>74</v>
      </c>
    </row>
    <row r="112" spans="1:66">
      <c r="A112">
        <v>100066</v>
      </c>
      <c r="B112" t="s">
        <v>90</v>
      </c>
      <c r="C112" s="1">
        <v>43300101</v>
      </c>
      <c r="D112" t="s">
        <v>67</v>
      </c>
      <c r="H112" t="str">
        <f t="shared" si="12"/>
        <v>04785851009</v>
      </c>
      <c r="I112" t="str">
        <f t="shared" si="13"/>
        <v>12268050155</v>
      </c>
      <c r="K112" t="str">
        <f>""</f>
        <v/>
      </c>
      <c r="M112" t="s">
        <v>68</v>
      </c>
      <c r="N112" t="str">
        <f t="shared" si="14"/>
        <v>FOR</v>
      </c>
      <c r="O112" t="s">
        <v>69</v>
      </c>
      <c r="P112" t="s">
        <v>75</v>
      </c>
      <c r="Q112">
        <v>2016</v>
      </c>
      <c r="R112" s="4">
        <v>42548</v>
      </c>
      <c r="S112" s="2">
        <v>42550</v>
      </c>
      <c r="T112" s="2">
        <v>42549</v>
      </c>
      <c r="U112" s="4">
        <v>42609</v>
      </c>
      <c r="V112" t="s">
        <v>71</v>
      </c>
      <c r="W112" t="str">
        <f>"          1010952904"</f>
        <v xml:space="preserve">          1010952904</v>
      </c>
      <c r="X112" s="1">
        <v>3074.4</v>
      </c>
      <c r="Y112">
        <v>0</v>
      </c>
      <c r="Z112" s="5">
        <v>2520</v>
      </c>
      <c r="AA112" s="3">
        <v>186</v>
      </c>
      <c r="AB112" s="5">
        <v>468720</v>
      </c>
      <c r="AC112" s="1">
        <v>2520</v>
      </c>
      <c r="AD112">
        <v>186</v>
      </c>
      <c r="AE112" s="1">
        <v>468720</v>
      </c>
      <c r="AF112">
        <v>554.4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 s="2">
        <v>42831</v>
      </c>
      <c r="AQ112" t="s">
        <v>72</v>
      </c>
      <c r="AR112" t="s">
        <v>72</v>
      </c>
      <c r="AS112">
        <v>671</v>
      </c>
      <c r="AT112" s="4">
        <v>42795</v>
      </c>
      <c r="AU112" t="s">
        <v>73</v>
      </c>
      <c r="AV112">
        <v>671</v>
      </c>
      <c r="AW112" s="4">
        <v>42795</v>
      </c>
      <c r="BD112">
        <v>554.4</v>
      </c>
      <c r="BN112" t="s">
        <v>74</v>
      </c>
    </row>
    <row r="113" spans="1:66">
      <c r="A113">
        <v>100066</v>
      </c>
      <c r="B113" t="s">
        <v>90</v>
      </c>
      <c r="C113" s="1">
        <v>43300101</v>
      </c>
      <c r="D113" t="s">
        <v>67</v>
      </c>
      <c r="H113" t="str">
        <f t="shared" si="12"/>
        <v>04785851009</v>
      </c>
      <c r="I113" t="str">
        <f t="shared" si="13"/>
        <v>12268050155</v>
      </c>
      <c r="K113" t="str">
        <f>""</f>
        <v/>
      </c>
      <c r="M113" t="s">
        <v>68</v>
      </c>
      <c r="N113" t="str">
        <f t="shared" si="14"/>
        <v>FOR</v>
      </c>
      <c r="O113" t="s">
        <v>69</v>
      </c>
      <c r="P113" t="s">
        <v>75</v>
      </c>
      <c r="Q113">
        <v>2016</v>
      </c>
      <c r="R113" s="4">
        <v>42550</v>
      </c>
      <c r="S113" s="2">
        <v>42556</v>
      </c>
      <c r="T113" s="2">
        <v>42551</v>
      </c>
      <c r="U113" s="4">
        <v>42611</v>
      </c>
      <c r="V113" t="s">
        <v>71</v>
      </c>
      <c r="W113" t="str">
        <f>"          1010953394"</f>
        <v xml:space="preserve">          1010953394</v>
      </c>
      <c r="X113" s="1">
        <v>5572.96</v>
      </c>
      <c r="Y113">
        <v>0</v>
      </c>
      <c r="Z113" s="5">
        <v>4568</v>
      </c>
      <c r="AA113" s="3">
        <v>184</v>
      </c>
      <c r="AB113" s="5">
        <v>840512</v>
      </c>
      <c r="AC113" s="1">
        <v>4568</v>
      </c>
      <c r="AD113">
        <v>184</v>
      </c>
      <c r="AE113" s="1">
        <v>840512</v>
      </c>
      <c r="AF113" s="1">
        <v>1004.96</v>
      </c>
      <c r="AJ113">
        <v>0</v>
      </c>
      <c r="AK113">
        <v>0</v>
      </c>
      <c r="AL113">
        <v>0</v>
      </c>
      <c r="AM113">
        <v>0</v>
      </c>
      <c r="AN113">
        <v>0</v>
      </c>
      <c r="AO113">
        <v>0</v>
      </c>
      <c r="AP113" s="2">
        <v>42831</v>
      </c>
      <c r="AQ113" t="s">
        <v>72</v>
      </c>
      <c r="AR113" t="s">
        <v>72</v>
      </c>
      <c r="AS113">
        <v>671</v>
      </c>
      <c r="AT113" s="4">
        <v>42795</v>
      </c>
      <c r="AU113" t="s">
        <v>73</v>
      </c>
      <c r="AV113">
        <v>671</v>
      </c>
      <c r="AW113" s="4">
        <v>42795</v>
      </c>
      <c r="BD113" s="1">
        <v>1004.96</v>
      </c>
      <c r="BN113" t="s">
        <v>74</v>
      </c>
    </row>
    <row r="114" spans="1:66">
      <c r="A114">
        <v>100066</v>
      </c>
      <c r="B114" t="s">
        <v>90</v>
      </c>
      <c r="C114" s="1">
        <v>43300101</v>
      </c>
      <c r="D114" t="s">
        <v>67</v>
      </c>
      <c r="H114" t="str">
        <f t="shared" si="12"/>
        <v>04785851009</v>
      </c>
      <c r="I114" t="str">
        <f t="shared" si="13"/>
        <v>12268050155</v>
      </c>
      <c r="K114" t="str">
        <f>""</f>
        <v/>
      </c>
      <c r="M114" t="s">
        <v>68</v>
      </c>
      <c r="N114" t="str">
        <f t="shared" si="14"/>
        <v>FOR</v>
      </c>
      <c r="O114" t="s">
        <v>69</v>
      </c>
      <c r="P114" t="s">
        <v>75</v>
      </c>
      <c r="Q114">
        <v>2016</v>
      </c>
      <c r="R114" s="4">
        <v>42551</v>
      </c>
      <c r="S114" s="2">
        <v>42556</v>
      </c>
      <c r="T114" s="2">
        <v>42552</v>
      </c>
      <c r="U114" s="4">
        <v>42612</v>
      </c>
      <c r="V114" t="s">
        <v>71</v>
      </c>
      <c r="W114" t="str">
        <f>"          1010953632"</f>
        <v xml:space="preserve">          1010953632</v>
      </c>
      <c r="X114" s="1">
        <v>3343.78</v>
      </c>
      <c r="Y114">
        <v>0</v>
      </c>
      <c r="Z114" s="5">
        <v>2740.8</v>
      </c>
      <c r="AA114" s="3">
        <v>183</v>
      </c>
      <c r="AB114" s="5">
        <v>501566.4</v>
      </c>
      <c r="AC114" s="1">
        <v>2740.8</v>
      </c>
      <c r="AD114">
        <v>183</v>
      </c>
      <c r="AE114" s="1">
        <v>501566.4</v>
      </c>
      <c r="AF114">
        <v>602.98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 s="2">
        <v>42831</v>
      </c>
      <c r="AQ114" t="s">
        <v>72</v>
      </c>
      <c r="AR114" t="s">
        <v>72</v>
      </c>
      <c r="AS114">
        <v>671</v>
      </c>
      <c r="AT114" s="4">
        <v>42795</v>
      </c>
      <c r="AU114" t="s">
        <v>73</v>
      </c>
      <c r="AV114">
        <v>671</v>
      </c>
      <c r="AW114" s="4">
        <v>42795</v>
      </c>
      <c r="BD114">
        <v>602.98</v>
      </c>
      <c r="BN114" t="s">
        <v>74</v>
      </c>
    </row>
    <row r="115" spans="1:66">
      <c r="A115">
        <v>100066</v>
      </c>
      <c r="B115" t="s">
        <v>90</v>
      </c>
      <c r="C115" s="1">
        <v>43300101</v>
      </c>
      <c r="D115" t="s">
        <v>67</v>
      </c>
      <c r="H115" t="str">
        <f t="shared" si="12"/>
        <v>04785851009</v>
      </c>
      <c r="I115" t="str">
        <f t="shared" si="13"/>
        <v>12268050155</v>
      </c>
      <c r="K115" t="str">
        <f>""</f>
        <v/>
      </c>
      <c r="M115" t="s">
        <v>68</v>
      </c>
      <c r="N115" t="str">
        <f t="shared" si="14"/>
        <v>FOR</v>
      </c>
      <c r="O115" t="s">
        <v>69</v>
      </c>
      <c r="P115" t="s">
        <v>75</v>
      </c>
      <c r="Q115">
        <v>2016</v>
      </c>
      <c r="R115" s="4">
        <v>42467</v>
      </c>
      <c r="S115" s="2">
        <v>42471</v>
      </c>
      <c r="T115" s="2">
        <v>42467</v>
      </c>
      <c r="U115" s="4">
        <v>42527</v>
      </c>
      <c r="V115" t="s">
        <v>71</v>
      </c>
      <c r="W115" t="str">
        <f>"          9560001135"</f>
        <v xml:space="preserve">          9560001135</v>
      </c>
      <c r="X115" s="1">
        <v>3371.78</v>
      </c>
      <c r="Y115">
        <v>0</v>
      </c>
      <c r="Z115" s="5">
        <v>2763.75</v>
      </c>
      <c r="AA115" s="3">
        <v>245</v>
      </c>
      <c r="AB115" s="5">
        <v>677118.75</v>
      </c>
      <c r="AC115" s="1">
        <v>2763.75</v>
      </c>
      <c r="AD115">
        <v>245</v>
      </c>
      <c r="AE115" s="1">
        <v>677118.75</v>
      </c>
      <c r="AF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 s="2">
        <v>42831</v>
      </c>
      <c r="AQ115" t="s">
        <v>72</v>
      </c>
      <c r="AR115" t="s">
        <v>72</v>
      </c>
      <c r="AS115">
        <v>298</v>
      </c>
      <c r="AT115" s="4">
        <v>42772</v>
      </c>
      <c r="AU115" t="s">
        <v>73</v>
      </c>
      <c r="AV115">
        <v>298</v>
      </c>
      <c r="AW115" s="4">
        <v>42772</v>
      </c>
      <c r="BD115">
        <v>0</v>
      </c>
      <c r="BN115" t="s">
        <v>74</v>
      </c>
    </row>
    <row r="116" spans="1:66">
      <c r="A116">
        <v>100069</v>
      </c>
      <c r="B116" t="s">
        <v>91</v>
      </c>
      <c r="C116" s="1">
        <v>43300101</v>
      </c>
      <c r="D116" t="s">
        <v>67</v>
      </c>
      <c r="H116" t="str">
        <f t="shared" ref="H116:I122" si="15">"04185110154"</f>
        <v>04185110154</v>
      </c>
      <c r="I116" t="str">
        <f t="shared" si="15"/>
        <v>04185110154</v>
      </c>
      <c r="K116" t="str">
        <f>""</f>
        <v/>
      </c>
      <c r="M116" t="s">
        <v>68</v>
      </c>
      <c r="N116" t="str">
        <f t="shared" si="14"/>
        <v>FOR</v>
      </c>
      <c r="O116" t="s">
        <v>69</v>
      </c>
      <c r="P116" t="s">
        <v>75</v>
      </c>
      <c r="Q116">
        <v>2015</v>
      </c>
      <c r="R116" s="4">
        <v>42094</v>
      </c>
      <c r="S116" s="2">
        <v>42772</v>
      </c>
      <c r="T116" s="2">
        <v>42768</v>
      </c>
      <c r="U116" s="4">
        <v>42828</v>
      </c>
      <c r="V116" t="s">
        <v>71</v>
      </c>
      <c r="W116" t="str">
        <f>"          2015020765"</f>
        <v xml:space="preserve">          2015020765</v>
      </c>
      <c r="X116" s="1">
        <v>8540.98</v>
      </c>
      <c r="Y116">
        <v>0</v>
      </c>
      <c r="Z116" s="5">
        <v>7000.8</v>
      </c>
      <c r="AA116" s="3">
        <v>-33</v>
      </c>
      <c r="AB116" s="5">
        <v>-231026.4</v>
      </c>
      <c r="AC116" s="1">
        <v>7000.8</v>
      </c>
      <c r="AD116">
        <v>-33</v>
      </c>
      <c r="AE116" s="1">
        <v>-231026.4</v>
      </c>
      <c r="AF116" s="1">
        <v>1540.18</v>
      </c>
      <c r="AJ116">
        <v>0</v>
      </c>
      <c r="AK116" s="1">
        <v>8540.98</v>
      </c>
      <c r="AL116">
        <v>0</v>
      </c>
      <c r="AM116">
        <v>0</v>
      </c>
      <c r="AN116" s="1">
        <v>8540.98</v>
      </c>
      <c r="AO116">
        <v>0</v>
      </c>
      <c r="AP116" s="2">
        <v>42831</v>
      </c>
      <c r="AQ116" t="s">
        <v>72</v>
      </c>
      <c r="AR116" t="s">
        <v>72</v>
      </c>
      <c r="AS116">
        <v>670</v>
      </c>
      <c r="AT116" s="4">
        <v>42795</v>
      </c>
      <c r="AV116">
        <v>670</v>
      </c>
      <c r="AW116" s="4">
        <v>42795</v>
      </c>
      <c r="BD116">
        <v>0</v>
      </c>
      <c r="BF116" s="1">
        <v>1540.18</v>
      </c>
      <c r="BN116" t="s">
        <v>74</v>
      </c>
    </row>
    <row r="117" spans="1:66">
      <c r="A117">
        <v>100069</v>
      </c>
      <c r="B117" t="s">
        <v>91</v>
      </c>
      <c r="C117" s="1">
        <v>43300101</v>
      </c>
      <c r="D117" t="s">
        <v>67</v>
      </c>
      <c r="H117" t="str">
        <f t="shared" si="15"/>
        <v>04185110154</v>
      </c>
      <c r="I117" t="str">
        <f t="shared" si="15"/>
        <v>04185110154</v>
      </c>
      <c r="K117" t="str">
        <f>""</f>
        <v/>
      </c>
      <c r="M117" t="s">
        <v>68</v>
      </c>
      <c r="N117" t="str">
        <f t="shared" si="14"/>
        <v>FOR</v>
      </c>
      <c r="O117" t="s">
        <v>69</v>
      </c>
      <c r="P117" t="s">
        <v>75</v>
      </c>
      <c r="Q117">
        <v>2015</v>
      </c>
      <c r="R117" s="4">
        <v>42200</v>
      </c>
      <c r="S117" s="2">
        <v>42772</v>
      </c>
      <c r="T117" s="2">
        <v>42768</v>
      </c>
      <c r="U117" s="4">
        <v>42828</v>
      </c>
      <c r="V117" t="s">
        <v>71</v>
      </c>
      <c r="W117" t="str">
        <f>"          2015049384"</f>
        <v xml:space="preserve">          2015049384</v>
      </c>
      <c r="X117" s="1">
        <v>7914.97</v>
      </c>
      <c r="Y117">
        <v>0</v>
      </c>
      <c r="Z117" s="5">
        <v>6487.68</v>
      </c>
      <c r="AA117" s="3">
        <v>-33</v>
      </c>
      <c r="AB117" s="5">
        <v>-214093.44</v>
      </c>
      <c r="AC117" s="1">
        <v>6487.68</v>
      </c>
      <c r="AD117">
        <v>-33</v>
      </c>
      <c r="AE117" s="1">
        <v>-214093.44</v>
      </c>
      <c r="AF117" s="1">
        <v>1427.29</v>
      </c>
      <c r="AJ117">
        <v>0</v>
      </c>
      <c r="AK117" s="1">
        <v>7914.97</v>
      </c>
      <c r="AL117">
        <v>0</v>
      </c>
      <c r="AM117">
        <v>0</v>
      </c>
      <c r="AN117" s="1">
        <v>7914.97</v>
      </c>
      <c r="AO117">
        <v>0</v>
      </c>
      <c r="AP117" s="2">
        <v>42831</v>
      </c>
      <c r="AQ117" t="s">
        <v>72</v>
      </c>
      <c r="AR117" t="s">
        <v>72</v>
      </c>
      <c r="AS117">
        <v>670</v>
      </c>
      <c r="AT117" s="4">
        <v>42795</v>
      </c>
      <c r="AV117">
        <v>670</v>
      </c>
      <c r="AW117" s="4">
        <v>42795</v>
      </c>
      <c r="BD117">
        <v>0</v>
      </c>
      <c r="BF117" s="1">
        <v>1427.29</v>
      </c>
      <c r="BN117" t="s">
        <v>74</v>
      </c>
    </row>
    <row r="118" spans="1:66">
      <c r="A118">
        <v>100069</v>
      </c>
      <c r="B118" t="s">
        <v>91</v>
      </c>
      <c r="C118" s="1">
        <v>43300101</v>
      </c>
      <c r="D118" t="s">
        <v>67</v>
      </c>
      <c r="H118" t="str">
        <f t="shared" si="15"/>
        <v>04185110154</v>
      </c>
      <c r="I118" t="str">
        <f t="shared" si="15"/>
        <v>04185110154</v>
      </c>
      <c r="K118" t="str">
        <f>""</f>
        <v/>
      </c>
      <c r="M118" t="s">
        <v>68</v>
      </c>
      <c r="N118" t="str">
        <f t="shared" si="14"/>
        <v>FOR</v>
      </c>
      <c r="O118" t="s">
        <v>69</v>
      </c>
      <c r="P118" t="s">
        <v>75</v>
      </c>
      <c r="Q118">
        <v>2015</v>
      </c>
      <c r="R118" s="4">
        <v>42220</v>
      </c>
      <c r="S118" s="2">
        <v>42772</v>
      </c>
      <c r="T118" s="2">
        <v>42768</v>
      </c>
      <c r="U118" s="4">
        <v>42828</v>
      </c>
      <c r="V118" t="s">
        <v>71</v>
      </c>
      <c r="W118" t="str">
        <f>"          2015054263"</f>
        <v xml:space="preserve">          2015054263</v>
      </c>
      <c r="X118">
        <v>320.38</v>
      </c>
      <c r="Y118">
        <v>0</v>
      </c>
      <c r="Z118" s="5">
        <v>262.61</v>
      </c>
      <c r="AA118" s="3">
        <v>-33</v>
      </c>
      <c r="AB118" s="5">
        <v>-8666.1299999999992</v>
      </c>
      <c r="AC118">
        <v>262.61</v>
      </c>
      <c r="AD118">
        <v>-33</v>
      </c>
      <c r="AE118" s="1">
        <v>-8666.1299999999992</v>
      </c>
      <c r="AF118">
        <v>57.77</v>
      </c>
      <c r="AJ118">
        <v>0</v>
      </c>
      <c r="AK118">
        <v>320.38</v>
      </c>
      <c r="AL118">
        <v>0</v>
      </c>
      <c r="AM118">
        <v>0</v>
      </c>
      <c r="AN118">
        <v>320.38</v>
      </c>
      <c r="AO118">
        <v>0</v>
      </c>
      <c r="AP118" s="2">
        <v>42831</v>
      </c>
      <c r="AQ118" t="s">
        <v>72</v>
      </c>
      <c r="AR118" t="s">
        <v>72</v>
      </c>
      <c r="AS118">
        <v>670</v>
      </c>
      <c r="AT118" s="4">
        <v>42795</v>
      </c>
      <c r="AV118">
        <v>670</v>
      </c>
      <c r="AW118" s="4">
        <v>42795</v>
      </c>
      <c r="BD118">
        <v>0</v>
      </c>
      <c r="BF118">
        <v>57.77</v>
      </c>
      <c r="BN118" t="s">
        <v>74</v>
      </c>
    </row>
    <row r="119" spans="1:66">
      <c r="A119">
        <v>100069</v>
      </c>
      <c r="B119" t="s">
        <v>91</v>
      </c>
      <c r="C119" s="1">
        <v>43300101</v>
      </c>
      <c r="D119" t="s">
        <v>67</v>
      </c>
      <c r="H119" t="str">
        <f t="shared" si="15"/>
        <v>04185110154</v>
      </c>
      <c r="I119" t="str">
        <f t="shared" si="15"/>
        <v>04185110154</v>
      </c>
      <c r="K119" t="str">
        <f>""</f>
        <v/>
      </c>
      <c r="M119" t="s">
        <v>68</v>
      </c>
      <c r="N119" t="str">
        <f t="shared" si="14"/>
        <v>FOR</v>
      </c>
      <c r="O119" t="s">
        <v>69</v>
      </c>
      <c r="P119" t="s">
        <v>75</v>
      </c>
      <c r="Q119">
        <v>2015</v>
      </c>
      <c r="R119" s="4">
        <v>42332</v>
      </c>
      <c r="S119" s="2">
        <v>42772</v>
      </c>
      <c r="T119" s="2">
        <v>42768</v>
      </c>
      <c r="U119" s="4">
        <v>42828</v>
      </c>
      <c r="V119" t="s">
        <v>71</v>
      </c>
      <c r="W119" t="str">
        <f>"          2015071738"</f>
        <v xml:space="preserve">          2015071738</v>
      </c>
      <c r="X119">
        <v>605.36</v>
      </c>
      <c r="Y119">
        <v>0</v>
      </c>
      <c r="Z119" s="5">
        <v>496.2</v>
      </c>
      <c r="AA119" s="3">
        <v>-33</v>
      </c>
      <c r="AB119" s="5">
        <v>-16374.6</v>
      </c>
      <c r="AC119">
        <v>496.2</v>
      </c>
      <c r="AD119">
        <v>-33</v>
      </c>
      <c r="AE119" s="1">
        <v>-16374.6</v>
      </c>
      <c r="AF119">
        <v>109.16</v>
      </c>
      <c r="AJ119">
        <v>0</v>
      </c>
      <c r="AK119">
        <v>605.36</v>
      </c>
      <c r="AL119">
        <v>0</v>
      </c>
      <c r="AM119">
        <v>0</v>
      </c>
      <c r="AN119">
        <v>605.36</v>
      </c>
      <c r="AO119">
        <v>0</v>
      </c>
      <c r="AP119" s="2">
        <v>42831</v>
      </c>
      <c r="AQ119" t="s">
        <v>72</v>
      </c>
      <c r="AR119" t="s">
        <v>72</v>
      </c>
      <c r="AS119">
        <v>670</v>
      </c>
      <c r="AT119" s="4">
        <v>42795</v>
      </c>
      <c r="AV119">
        <v>670</v>
      </c>
      <c r="AW119" s="4">
        <v>42795</v>
      </c>
      <c r="BD119">
        <v>0</v>
      </c>
      <c r="BF119">
        <v>109.16</v>
      </c>
      <c r="BN119" t="s">
        <v>74</v>
      </c>
    </row>
    <row r="120" spans="1:66">
      <c r="A120">
        <v>100069</v>
      </c>
      <c r="B120" t="s">
        <v>91</v>
      </c>
      <c r="C120" s="1">
        <v>43300101</v>
      </c>
      <c r="D120" t="s">
        <v>67</v>
      </c>
      <c r="H120" t="str">
        <f t="shared" si="15"/>
        <v>04185110154</v>
      </c>
      <c r="I120" t="str">
        <f t="shared" si="15"/>
        <v>04185110154</v>
      </c>
      <c r="K120" t="str">
        <f>""</f>
        <v/>
      </c>
      <c r="M120" t="s">
        <v>68</v>
      </c>
      <c r="N120" t="str">
        <f t="shared" si="14"/>
        <v>FOR</v>
      </c>
      <c r="O120" t="s">
        <v>69</v>
      </c>
      <c r="P120" t="s">
        <v>75</v>
      </c>
      <c r="Q120">
        <v>2016</v>
      </c>
      <c r="R120" s="4">
        <v>42626</v>
      </c>
      <c r="S120" s="2">
        <v>42642</v>
      </c>
      <c r="T120" s="2">
        <v>42640</v>
      </c>
      <c r="U120" s="4">
        <v>42700</v>
      </c>
      <c r="V120" t="s">
        <v>71</v>
      </c>
      <c r="W120" t="str">
        <f>"          2016040678"</f>
        <v xml:space="preserve">          2016040678</v>
      </c>
      <c r="X120" s="1">
        <v>10862.58</v>
      </c>
      <c r="Y120">
        <v>0</v>
      </c>
      <c r="Z120" s="5">
        <v>8903.75</v>
      </c>
      <c r="AA120" s="3">
        <v>74</v>
      </c>
      <c r="AB120" s="5">
        <v>658877.5</v>
      </c>
      <c r="AC120" s="1">
        <v>8903.75</v>
      </c>
      <c r="AD120">
        <v>74</v>
      </c>
      <c r="AE120" s="1">
        <v>658877.5</v>
      </c>
      <c r="AF120">
        <v>0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 s="2">
        <v>42831</v>
      </c>
      <c r="AQ120" t="s">
        <v>72</v>
      </c>
      <c r="AR120" t="s">
        <v>72</v>
      </c>
      <c r="AS120">
        <v>325</v>
      </c>
      <c r="AT120" s="4">
        <v>42774</v>
      </c>
      <c r="AU120" t="s">
        <v>73</v>
      </c>
      <c r="AV120">
        <v>325</v>
      </c>
      <c r="AW120" s="4">
        <v>42774</v>
      </c>
      <c r="BD120">
        <v>0</v>
      </c>
      <c r="BN120" t="s">
        <v>74</v>
      </c>
    </row>
    <row r="121" spans="1:66">
      <c r="A121">
        <v>100069</v>
      </c>
      <c r="B121" t="s">
        <v>91</v>
      </c>
      <c r="C121" s="1">
        <v>43300101</v>
      </c>
      <c r="D121" t="s">
        <v>67</v>
      </c>
      <c r="H121" t="str">
        <f t="shared" si="15"/>
        <v>04185110154</v>
      </c>
      <c r="I121" t="str">
        <f t="shared" si="15"/>
        <v>04185110154</v>
      </c>
      <c r="K121" t="str">
        <f>""</f>
        <v/>
      </c>
      <c r="M121" t="s">
        <v>68</v>
      </c>
      <c r="N121" t="str">
        <f t="shared" si="14"/>
        <v>FOR</v>
      </c>
      <c r="O121" t="s">
        <v>69</v>
      </c>
      <c r="P121" t="s">
        <v>75</v>
      </c>
      <c r="Q121">
        <v>2016</v>
      </c>
      <c r="R121" s="4">
        <v>42626</v>
      </c>
      <c r="S121" s="2">
        <v>42642</v>
      </c>
      <c r="T121" s="2">
        <v>42640</v>
      </c>
      <c r="U121" s="4">
        <v>42700</v>
      </c>
      <c r="V121" t="s">
        <v>71</v>
      </c>
      <c r="W121" t="str">
        <f>"          2016040724"</f>
        <v xml:space="preserve">          2016040724</v>
      </c>
      <c r="X121">
        <v>432.61</v>
      </c>
      <c r="Y121">
        <v>0</v>
      </c>
      <c r="Z121" s="5">
        <v>354.6</v>
      </c>
      <c r="AA121" s="3">
        <v>74</v>
      </c>
      <c r="AB121" s="5">
        <v>26240.400000000001</v>
      </c>
      <c r="AC121">
        <v>354.6</v>
      </c>
      <c r="AD121">
        <v>74</v>
      </c>
      <c r="AE121" s="1">
        <v>26240.400000000001</v>
      </c>
      <c r="AF121">
        <v>0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 s="2">
        <v>42831</v>
      </c>
      <c r="AQ121" t="s">
        <v>72</v>
      </c>
      <c r="AR121" t="s">
        <v>72</v>
      </c>
      <c r="AS121">
        <v>325</v>
      </c>
      <c r="AT121" s="4">
        <v>42774</v>
      </c>
      <c r="AU121" t="s">
        <v>73</v>
      </c>
      <c r="AV121">
        <v>325</v>
      </c>
      <c r="AW121" s="4">
        <v>42774</v>
      </c>
      <c r="BD121">
        <v>0</v>
      </c>
      <c r="BN121" t="s">
        <v>74</v>
      </c>
    </row>
    <row r="122" spans="1:66">
      <c r="A122">
        <v>100069</v>
      </c>
      <c r="B122" t="s">
        <v>91</v>
      </c>
      <c r="C122" s="1">
        <v>43300101</v>
      </c>
      <c r="D122" t="s">
        <v>67</v>
      </c>
      <c r="H122" t="str">
        <f t="shared" si="15"/>
        <v>04185110154</v>
      </c>
      <c r="I122" t="str">
        <f t="shared" si="15"/>
        <v>04185110154</v>
      </c>
      <c r="K122" t="str">
        <f>""</f>
        <v/>
      </c>
      <c r="M122" t="s">
        <v>68</v>
      </c>
      <c r="N122" t="str">
        <f t="shared" si="14"/>
        <v>FOR</v>
      </c>
      <c r="O122" t="s">
        <v>69</v>
      </c>
      <c r="P122" t="s">
        <v>75</v>
      </c>
      <c r="Q122">
        <v>2016</v>
      </c>
      <c r="R122" s="4">
        <v>42627</v>
      </c>
      <c r="S122" s="2">
        <v>42642</v>
      </c>
      <c r="T122" s="2">
        <v>42640</v>
      </c>
      <c r="U122" s="4">
        <v>42700</v>
      </c>
      <c r="V122" t="s">
        <v>71</v>
      </c>
      <c r="W122" t="str">
        <f>"          2016040752"</f>
        <v xml:space="preserve">          2016040752</v>
      </c>
      <c r="X122">
        <v>488.06</v>
      </c>
      <c r="Y122">
        <v>0</v>
      </c>
      <c r="Z122" s="5">
        <v>400.05</v>
      </c>
      <c r="AA122" s="3">
        <v>74</v>
      </c>
      <c r="AB122" s="5">
        <v>29603.7</v>
      </c>
      <c r="AC122">
        <v>400.05</v>
      </c>
      <c r="AD122">
        <v>74</v>
      </c>
      <c r="AE122" s="1">
        <v>29603.7</v>
      </c>
      <c r="AF122">
        <v>0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 s="2">
        <v>42831</v>
      </c>
      <c r="AQ122" t="s">
        <v>72</v>
      </c>
      <c r="AR122" t="s">
        <v>72</v>
      </c>
      <c r="AS122">
        <v>325</v>
      </c>
      <c r="AT122" s="4">
        <v>42774</v>
      </c>
      <c r="AU122" t="s">
        <v>73</v>
      </c>
      <c r="AV122">
        <v>325</v>
      </c>
      <c r="AW122" s="4">
        <v>42774</v>
      </c>
      <c r="BD122">
        <v>0</v>
      </c>
      <c r="BN122" t="s">
        <v>74</v>
      </c>
    </row>
    <row r="123" spans="1:66">
      <c r="A123">
        <v>100073</v>
      </c>
      <c r="B123" t="s">
        <v>92</v>
      </c>
      <c r="C123" s="1">
        <v>43300101</v>
      </c>
      <c r="D123" t="s">
        <v>67</v>
      </c>
      <c r="H123" t="str">
        <f t="shared" ref="H123:H130" si="16">"01778520302"</f>
        <v>01778520302</v>
      </c>
      <c r="I123" t="str">
        <f t="shared" ref="I123:I130" si="17">"11496970150"</f>
        <v>11496970150</v>
      </c>
      <c r="K123" t="str">
        <f>""</f>
        <v/>
      </c>
      <c r="M123" t="s">
        <v>68</v>
      </c>
      <c r="N123" t="str">
        <f t="shared" si="14"/>
        <v>FOR</v>
      </c>
      <c r="O123" t="s">
        <v>69</v>
      </c>
      <c r="P123" t="s">
        <v>75</v>
      </c>
      <c r="Q123">
        <v>2016</v>
      </c>
      <c r="R123" s="4">
        <v>42432</v>
      </c>
      <c r="S123" s="2">
        <v>42436</v>
      </c>
      <c r="T123" s="2">
        <v>42433</v>
      </c>
      <c r="U123" s="4">
        <v>42493</v>
      </c>
      <c r="V123" t="s">
        <v>71</v>
      </c>
      <c r="W123" t="str">
        <f>"       6012216005140"</f>
        <v xml:space="preserve">       6012216005140</v>
      </c>
      <c r="X123" s="1">
        <v>3597</v>
      </c>
      <c r="Y123">
        <v>0</v>
      </c>
      <c r="Z123" s="5">
        <v>3270</v>
      </c>
      <c r="AA123" s="3">
        <v>282</v>
      </c>
      <c r="AB123" s="5">
        <v>922140</v>
      </c>
      <c r="AC123" s="1">
        <v>3270</v>
      </c>
      <c r="AD123">
        <v>282</v>
      </c>
      <c r="AE123" s="1">
        <v>922140</v>
      </c>
      <c r="AF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 s="2">
        <v>42831</v>
      </c>
      <c r="AQ123" t="s">
        <v>72</v>
      </c>
      <c r="AR123" t="s">
        <v>72</v>
      </c>
      <c r="AS123">
        <v>367</v>
      </c>
      <c r="AT123" s="4">
        <v>42775</v>
      </c>
      <c r="AU123" t="s">
        <v>73</v>
      </c>
      <c r="AV123">
        <v>367</v>
      </c>
      <c r="AW123" s="4">
        <v>42775</v>
      </c>
      <c r="BD123">
        <v>0</v>
      </c>
      <c r="BN123" t="s">
        <v>74</v>
      </c>
    </row>
    <row r="124" spans="1:66">
      <c r="A124">
        <v>100073</v>
      </c>
      <c r="B124" t="s">
        <v>92</v>
      </c>
      <c r="C124" s="1">
        <v>43300101</v>
      </c>
      <c r="D124" t="s">
        <v>67</v>
      </c>
      <c r="H124" t="str">
        <f t="shared" si="16"/>
        <v>01778520302</v>
      </c>
      <c r="I124" t="str">
        <f t="shared" si="17"/>
        <v>11496970150</v>
      </c>
      <c r="K124" t="str">
        <f>""</f>
        <v/>
      </c>
      <c r="M124" t="s">
        <v>68</v>
      </c>
      <c r="N124" t="str">
        <f t="shared" si="14"/>
        <v>FOR</v>
      </c>
      <c r="O124" t="s">
        <v>69</v>
      </c>
      <c r="P124" t="s">
        <v>75</v>
      </c>
      <c r="Q124">
        <v>2016</v>
      </c>
      <c r="R124" s="4">
        <v>42437</v>
      </c>
      <c r="S124" s="2">
        <v>42438</v>
      </c>
      <c r="T124" s="2">
        <v>42438</v>
      </c>
      <c r="U124" s="4">
        <v>42498</v>
      </c>
      <c r="V124" t="s">
        <v>71</v>
      </c>
      <c r="W124" t="str">
        <f>"       6012216005431"</f>
        <v xml:space="preserve">       6012216005431</v>
      </c>
      <c r="X124" s="1">
        <v>8250</v>
      </c>
      <c r="Y124">
        <v>0</v>
      </c>
      <c r="Z124" s="5">
        <v>7500</v>
      </c>
      <c r="AA124" s="3">
        <v>277</v>
      </c>
      <c r="AB124" s="5">
        <v>2077500</v>
      </c>
      <c r="AC124" s="1">
        <v>7500</v>
      </c>
      <c r="AD124">
        <v>277</v>
      </c>
      <c r="AE124" s="1">
        <v>2077500</v>
      </c>
      <c r="AF124">
        <v>0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 s="2">
        <v>42831</v>
      </c>
      <c r="AQ124" t="s">
        <v>72</v>
      </c>
      <c r="AR124" t="s">
        <v>72</v>
      </c>
      <c r="AS124">
        <v>367</v>
      </c>
      <c r="AT124" s="4">
        <v>42775</v>
      </c>
      <c r="AU124" t="s">
        <v>73</v>
      </c>
      <c r="AV124">
        <v>367</v>
      </c>
      <c r="AW124" s="4">
        <v>42775</v>
      </c>
      <c r="BD124">
        <v>0</v>
      </c>
      <c r="BN124" t="s">
        <v>74</v>
      </c>
    </row>
    <row r="125" spans="1:66">
      <c r="A125">
        <v>100073</v>
      </c>
      <c r="B125" t="s">
        <v>92</v>
      </c>
      <c r="C125" s="1">
        <v>43300101</v>
      </c>
      <c r="D125" t="s">
        <v>67</v>
      </c>
      <c r="H125" t="str">
        <f t="shared" si="16"/>
        <v>01778520302</v>
      </c>
      <c r="I125" t="str">
        <f t="shared" si="17"/>
        <v>11496970150</v>
      </c>
      <c r="K125" t="str">
        <f>""</f>
        <v/>
      </c>
      <c r="M125" t="s">
        <v>68</v>
      </c>
      <c r="N125" t="str">
        <f t="shared" si="14"/>
        <v>FOR</v>
      </c>
      <c r="O125" t="s">
        <v>69</v>
      </c>
      <c r="P125" t="s">
        <v>75</v>
      </c>
      <c r="Q125">
        <v>2016</v>
      </c>
      <c r="R125" s="4">
        <v>42445</v>
      </c>
      <c r="S125" s="2">
        <v>42446</v>
      </c>
      <c r="T125" s="2">
        <v>42446</v>
      </c>
      <c r="U125" s="4">
        <v>42506</v>
      </c>
      <c r="V125" t="s">
        <v>71</v>
      </c>
      <c r="W125" t="str">
        <f>"       6012216006229"</f>
        <v xml:space="preserve">       6012216006229</v>
      </c>
      <c r="X125">
        <v>251.79</v>
      </c>
      <c r="Y125">
        <v>0</v>
      </c>
      <c r="Z125" s="5">
        <v>228.9</v>
      </c>
      <c r="AA125" s="3">
        <v>269</v>
      </c>
      <c r="AB125" s="5">
        <v>61574.1</v>
      </c>
      <c r="AC125">
        <v>228.9</v>
      </c>
      <c r="AD125">
        <v>269</v>
      </c>
      <c r="AE125" s="1">
        <v>61574.1</v>
      </c>
      <c r="AF125">
        <v>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 s="2">
        <v>42831</v>
      </c>
      <c r="AQ125" t="s">
        <v>72</v>
      </c>
      <c r="AR125" t="s">
        <v>72</v>
      </c>
      <c r="AS125">
        <v>367</v>
      </c>
      <c r="AT125" s="4">
        <v>42775</v>
      </c>
      <c r="AU125" t="s">
        <v>73</v>
      </c>
      <c r="AV125">
        <v>367</v>
      </c>
      <c r="AW125" s="4">
        <v>42775</v>
      </c>
      <c r="BD125">
        <v>0</v>
      </c>
      <c r="BN125" t="s">
        <v>74</v>
      </c>
    </row>
    <row r="126" spans="1:66">
      <c r="A126">
        <v>100073</v>
      </c>
      <c r="B126" t="s">
        <v>92</v>
      </c>
      <c r="C126" s="1">
        <v>43300101</v>
      </c>
      <c r="D126" t="s">
        <v>67</v>
      </c>
      <c r="H126" t="str">
        <f t="shared" si="16"/>
        <v>01778520302</v>
      </c>
      <c r="I126" t="str">
        <f t="shared" si="17"/>
        <v>11496970150</v>
      </c>
      <c r="K126" t="str">
        <f>""</f>
        <v/>
      </c>
      <c r="M126" t="s">
        <v>68</v>
      </c>
      <c r="N126" t="str">
        <f t="shared" si="14"/>
        <v>FOR</v>
      </c>
      <c r="O126" t="s">
        <v>69</v>
      </c>
      <c r="P126" t="s">
        <v>75</v>
      </c>
      <c r="Q126">
        <v>2016</v>
      </c>
      <c r="R126" s="4">
        <v>42454</v>
      </c>
      <c r="S126" s="2">
        <v>42467</v>
      </c>
      <c r="T126" s="2">
        <v>42455</v>
      </c>
      <c r="U126" s="4">
        <v>42515</v>
      </c>
      <c r="V126" t="s">
        <v>71</v>
      </c>
      <c r="W126" t="str">
        <f>"       6012216007164"</f>
        <v xml:space="preserve">       6012216007164</v>
      </c>
      <c r="X126" s="1">
        <v>2997.5</v>
      </c>
      <c r="Y126">
        <v>0</v>
      </c>
      <c r="Z126" s="5">
        <v>2725</v>
      </c>
      <c r="AA126" s="3">
        <v>260</v>
      </c>
      <c r="AB126" s="5">
        <v>708500</v>
      </c>
      <c r="AC126" s="1">
        <v>2725</v>
      </c>
      <c r="AD126">
        <v>260</v>
      </c>
      <c r="AE126" s="1">
        <v>708500</v>
      </c>
      <c r="AF126">
        <v>0</v>
      </c>
      <c r="AJ126">
        <v>0</v>
      </c>
      <c r="AK126">
        <v>0</v>
      </c>
      <c r="AL126">
        <v>0</v>
      </c>
      <c r="AM126">
        <v>0</v>
      </c>
      <c r="AN126">
        <v>0</v>
      </c>
      <c r="AO126">
        <v>0</v>
      </c>
      <c r="AP126" s="2">
        <v>42831</v>
      </c>
      <c r="AQ126" t="s">
        <v>72</v>
      </c>
      <c r="AR126" t="s">
        <v>72</v>
      </c>
      <c r="AS126">
        <v>367</v>
      </c>
      <c r="AT126" s="4">
        <v>42775</v>
      </c>
      <c r="AU126" t="s">
        <v>73</v>
      </c>
      <c r="AV126">
        <v>367</v>
      </c>
      <c r="AW126" s="4">
        <v>42775</v>
      </c>
      <c r="BD126">
        <v>0</v>
      </c>
      <c r="BN126" t="s">
        <v>74</v>
      </c>
    </row>
    <row r="127" spans="1:66">
      <c r="A127">
        <v>100073</v>
      </c>
      <c r="B127" t="s">
        <v>92</v>
      </c>
      <c r="C127" s="1">
        <v>43300101</v>
      </c>
      <c r="D127" t="s">
        <v>67</v>
      </c>
      <c r="H127" t="str">
        <f t="shared" si="16"/>
        <v>01778520302</v>
      </c>
      <c r="I127" t="str">
        <f t="shared" si="17"/>
        <v>11496970150</v>
      </c>
      <c r="K127" t="str">
        <f>""</f>
        <v/>
      </c>
      <c r="M127" t="s">
        <v>68</v>
      </c>
      <c r="N127" t="str">
        <f t="shared" si="14"/>
        <v>FOR</v>
      </c>
      <c r="O127" t="s">
        <v>69</v>
      </c>
      <c r="P127" t="s">
        <v>75</v>
      </c>
      <c r="Q127">
        <v>2016</v>
      </c>
      <c r="R127" s="4">
        <v>42473</v>
      </c>
      <c r="S127" s="2">
        <v>42481</v>
      </c>
      <c r="T127" s="2">
        <v>42474</v>
      </c>
      <c r="U127" s="4">
        <v>42534</v>
      </c>
      <c r="V127" t="s">
        <v>71</v>
      </c>
      <c r="W127" t="str">
        <f>"       6012216008554"</f>
        <v xml:space="preserve">       6012216008554</v>
      </c>
      <c r="X127">
        <v>467.61</v>
      </c>
      <c r="Y127">
        <v>0</v>
      </c>
      <c r="Z127" s="5">
        <v>425.1</v>
      </c>
      <c r="AA127" s="3">
        <v>247</v>
      </c>
      <c r="AB127" s="5">
        <v>104999.7</v>
      </c>
      <c r="AC127">
        <v>425.1</v>
      </c>
      <c r="AD127">
        <v>247</v>
      </c>
      <c r="AE127" s="1">
        <v>104999.7</v>
      </c>
      <c r="AF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 s="2">
        <v>42831</v>
      </c>
      <c r="AQ127" t="s">
        <v>72</v>
      </c>
      <c r="AR127" t="s">
        <v>72</v>
      </c>
      <c r="AS127">
        <v>456</v>
      </c>
      <c r="AT127" s="4">
        <v>42781</v>
      </c>
      <c r="AU127" t="s">
        <v>73</v>
      </c>
      <c r="AV127">
        <v>456</v>
      </c>
      <c r="AW127" s="4">
        <v>42781</v>
      </c>
      <c r="BD127">
        <v>0</v>
      </c>
      <c r="BN127" t="s">
        <v>74</v>
      </c>
    </row>
    <row r="128" spans="1:66">
      <c r="A128">
        <v>100073</v>
      </c>
      <c r="B128" t="s">
        <v>92</v>
      </c>
      <c r="C128" s="1">
        <v>43300101</v>
      </c>
      <c r="D128" t="s">
        <v>67</v>
      </c>
      <c r="H128" t="str">
        <f t="shared" si="16"/>
        <v>01778520302</v>
      </c>
      <c r="I128" t="str">
        <f t="shared" si="17"/>
        <v>11496970150</v>
      </c>
      <c r="K128" t="str">
        <f>""</f>
        <v/>
      </c>
      <c r="M128" t="s">
        <v>68</v>
      </c>
      <c r="N128" t="str">
        <f t="shared" si="14"/>
        <v>FOR</v>
      </c>
      <c r="O128" t="s">
        <v>69</v>
      </c>
      <c r="P128" t="s">
        <v>75</v>
      </c>
      <c r="Q128">
        <v>2016</v>
      </c>
      <c r="R128" s="4">
        <v>42482</v>
      </c>
      <c r="S128" s="2">
        <v>42488</v>
      </c>
      <c r="T128" s="2">
        <v>42483</v>
      </c>
      <c r="U128" s="4">
        <v>42543</v>
      </c>
      <c r="V128" t="s">
        <v>71</v>
      </c>
      <c r="W128" t="str">
        <f>"       6012216009414"</f>
        <v xml:space="preserve">       6012216009414</v>
      </c>
      <c r="X128" s="1">
        <v>1438.8</v>
      </c>
      <c r="Y128">
        <v>0</v>
      </c>
      <c r="Z128" s="5">
        <v>1308</v>
      </c>
      <c r="AA128" s="3">
        <v>238</v>
      </c>
      <c r="AB128" s="5">
        <v>311304</v>
      </c>
      <c r="AC128" s="1">
        <v>1308</v>
      </c>
      <c r="AD128">
        <v>238</v>
      </c>
      <c r="AE128" s="1">
        <v>311304</v>
      </c>
      <c r="AF128">
        <v>0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 s="2">
        <v>42831</v>
      </c>
      <c r="AQ128" t="s">
        <v>72</v>
      </c>
      <c r="AR128" t="s">
        <v>72</v>
      </c>
      <c r="AS128">
        <v>456</v>
      </c>
      <c r="AT128" s="4">
        <v>42781</v>
      </c>
      <c r="AU128" t="s">
        <v>73</v>
      </c>
      <c r="AV128">
        <v>456</v>
      </c>
      <c r="AW128" s="4">
        <v>42781</v>
      </c>
      <c r="BD128">
        <v>0</v>
      </c>
      <c r="BN128" t="s">
        <v>74</v>
      </c>
    </row>
    <row r="129" spans="1:66">
      <c r="A129">
        <v>100073</v>
      </c>
      <c r="B129" t="s">
        <v>92</v>
      </c>
      <c r="C129" s="1">
        <v>43300101</v>
      </c>
      <c r="D129" t="s">
        <v>67</v>
      </c>
      <c r="H129" t="str">
        <f t="shared" si="16"/>
        <v>01778520302</v>
      </c>
      <c r="I129" t="str">
        <f t="shared" si="17"/>
        <v>11496970150</v>
      </c>
      <c r="K129" t="str">
        <f>""</f>
        <v/>
      </c>
      <c r="M129" t="s">
        <v>68</v>
      </c>
      <c r="N129" t="str">
        <f t="shared" si="14"/>
        <v>FOR</v>
      </c>
      <c r="O129" t="s">
        <v>69</v>
      </c>
      <c r="P129" t="s">
        <v>75</v>
      </c>
      <c r="Q129">
        <v>2016</v>
      </c>
      <c r="R129" s="4">
        <v>42503</v>
      </c>
      <c r="S129" s="2">
        <v>42506</v>
      </c>
      <c r="T129" s="2">
        <v>42506</v>
      </c>
      <c r="U129" s="4">
        <v>42566</v>
      </c>
      <c r="V129" t="s">
        <v>71</v>
      </c>
      <c r="W129" t="str">
        <f>"       6012216011370"</f>
        <v xml:space="preserve">       6012216011370</v>
      </c>
      <c r="X129" s="1">
        <v>1438.8</v>
      </c>
      <c r="Y129">
        <v>0</v>
      </c>
      <c r="Z129" s="5">
        <v>1308</v>
      </c>
      <c r="AA129" s="3">
        <v>227</v>
      </c>
      <c r="AB129" s="5">
        <v>296916</v>
      </c>
      <c r="AC129" s="1">
        <v>1308</v>
      </c>
      <c r="AD129">
        <v>227</v>
      </c>
      <c r="AE129" s="1">
        <v>296916</v>
      </c>
      <c r="AF129">
        <v>0</v>
      </c>
      <c r="AJ129">
        <v>0</v>
      </c>
      <c r="AK129">
        <v>0</v>
      </c>
      <c r="AL129">
        <v>0</v>
      </c>
      <c r="AM129">
        <v>0</v>
      </c>
      <c r="AN129">
        <v>0</v>
      </c>
      <c r="AO129">
        <v>0</v>
      </c>
      <c r="AP129" s="2">
        <v>42831</v>
      </c>
      <c r="AQ129" t="s">
        <v>72</v>
      </c>
      <c r="AR129" t="s">
        <v>72</v>
      </c>
      <c r="AS129">
        <v>594</v>
      </c>
      <c r="AT129" s="4">
        <v>42793</v>
      </c>
      <c r="AU129" t="s">
        <v>73</v>
      </c>
      <c r="AV129">
        <v>594</v>
      </c>
      <c r="AW129" s="4">
        <v>42793</v>
      </c>
      <c r="BD129">
        <v>0</v>
      </c>
      <c r="BN129" t="s">
        <v>74</v>
      </c>
    </row>
    <row r="130" spans="1:66">
      <c r="A130">
        <v>100073</v>
      </c>
      <c r="B130" t="s">
        <v>92</v>
      </c>
      <c r="C130" s="1">
        <v>43300101</v>
      </c>
      <c r="D130" t="s">
        <v>67</v>
      </c>
      <c r="H130" t="str">
        <f t="shared" si="16"/>
        <v>01778520302</v>
      </c>
      <c r="I130" t="str">
        <f t="shared" si="17"/>
        <v>11496970150</v>
      </c>
      <c r="K130" t="str">
        <f>""</f>
        <v/>
      </c>
      <c r="M130" t="s">
        <v>68</v>
      </c>
      <c r="N130" t="str">
        <f t="shared" si="14"/>
        <v>FOR</v>
      </c>
      <c r="O130" t="s">
        <v>69</v>
      </c>
      <c r="P130" t="s">
        <v>75</v>
      </c>
      <c r="Q130">
        <v>2016</v>
      </c>
      <c r="R130" s="4">
        <v>42520</v>
      </c>
      <c r="S130" s="2">
        <v>42522</v>
      </c>
      <c r="T130" s="2">
        <v>42521</v>
      </c>
      <c r="U130" s="4">
        <v>42581</v>
      </c>
      <c r="V130" t="s">
        <v>71</v>
      </c>
      <c r="W130" t="str">
        <f>"       6012216012566"</f>
        <v xml:space="preserve">       6012216012566</v>
      </c>
      <c r="X130" s="1">
        <v>2877.6</v>
      </c>
      <c r="Y130">
        <v>0</v>
      </c>
      <c r="Z130" s="5">
        <v>2616</v>
      </c>
      <c r="AA130" s="3">
        <v>212</v>
      </c>
      <c r="AB130" s="5">
        <v>554592</v>
      </c>
      <c r="AC130" s="1">
        <v>2616</v>
      </c>
      <c r="AD130">
        <v>212</v>
      </c>
      <c r="AE130" s="1">
        <v>554592</v>
      </c>
      <c r="AF130">
        <v>0</v>
      </c>
      <c r="AJ130">
        <v>0</v>
      </c>
      <c r="AK130">
        <v>0</v>
      </c>
      <c r="AL130">
        <v>0</v>
      </c>
      <c r="AM130">
        <v>0</v>
      </c>
      <c r="AN130">
        <v>0</v>
      </c>
      <c r="AO130">
        <v>0</v>
      </c>
      <c r="AP130" s="2">
        <v>42831</v>
      </c>
      <c r="AQ130" t="s">
        <v>72</v>
      </c>
      <c r="AR130" t="s">
        <v>72</v>
      </c>
      <c r="AS130">
        <v>594</v>
      </c>
      <c r="AT130" s="4">
        <v>42793</v>
      </c>
      <c r="AU130" t="s">
        <v>73</v>
      </c>
      <c r="AV130">
        <v>594</v>
      </c>
      <c r="AW130" s="4">
        <v>42793</v>
      </c>
      <c r="BD130">
        <v>0</v>
      </c>
      <c r="BN130" t="s">
        <v>74</v>
      </c>
    </row>
    <row r="131" spans="1:66">
      <c r="A131">
        <v>100077</v>
      </c>
      <c r="B131" t="s">
        <v>93</v>
      </c>
      <c r="C131" s="1">
        <v>43300101</v>
      </c>
      <c r="D131" t="s">
        <v>67</v>
      </c>
      <c r="H131" t="str">
        <f>"00729220624"</f>
        <v>00729220624</v>
      </c>
      <c r="I131" t="str">
        <f>"00729220624"</f>
        <v>00729220624</v>
      </c>
      <c r="K131" t="str">
        <f>""</f>
        <v/>
      </c>
      <c r="M131" t="s">
        <v>68</v>
      </c>
      <c r="N131" t="str">
        <f t="shared" si="14"/>
        <v>FOR</v>
      </c>
      <c r="O131" t="s">
        <v>69</v>
      </c>
      <c r="P131" t="s">
        <v>75</v>
      </c>
      <c r="Q131">
        <v>2016</v>
      </c>
      <c r="R131" s="4">
        <v>42669</v>
      </c>
      <c r="S131" s="2">
        <v>42670</v>
      </c>
      <c r="T131" s="2">
        <v>42669</v>
      </c>
      <c r="U131" s="4">
        <v>42729</v>
      </c>
      <c r="V131" t="s">
        <v>71</v>
      </c>
      <c r="W131" t="str">
        <f>"                15PA"</f>
        <v xml:space="preserve">                15PA</v>
      </c>
      <c r="X131">
        <v>215.33</v>
      </c>
      <c r="Y131">
        <v>0</v>
      </c>
      <c r="Z131" s="5">
        <v>176.5</v>
      </c>
      <c r="AA131" s="3">
        <v>43</v>
      </c>
      <c r="AB131" s="5">
        <v>7589.5</v>
      </c>
      <c r="AC131">
        <v>176.5</v>
      </c>
      <c r="AD131">
        <v>43</v>
      </c>
      <c r="AE131" s="1">
        <v>7589.5</v>
      </c>
      <c r="AF131">
        <v>38.83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 s="2">
        <v>42831</v>
      </c>
      <c r="AQ131" t="s">
        <v>72</v>
      </c>
      <c r="AR131" t="s">
        <v>72</v>
      </c>
      <c r="AS131">
        <v>292</v>
      </c>
      <c r="AT131" s="4">
        <v>42772</v>
      </c>
      <c r="AU131" t="s">
        <v>73</v>
      </c>
      <c r="AV131">
        <v>292</v>
      </c>
      <c r="AW131" s="4">
        <v>42772</v>
      </c>
      <c r="BA131">
        <v>38.83</v>
      </c>
      <c r="BD131">
        <v>0</v>
      </c>
      <c r="BN131" t="s">
        <v>74</v>
      </c>
    </row>
    <row r="132" spans="1:66">
      <c r="A132">
        <v>100077</v>
      </c>
      <c r="B132" t="s">
        <v>93</v>
      </c>
      <c r="C132" s="1">
        <v>43300101</v>
      </c>
      <c r="D132" t="s">
        <v>67</v>
      </c>
      <c r="H132" t="str">
        <f>"00729220624"</f>
        <v>00729220624</v>
      </c>
      <c r="I132" t="str">
        <f>"00729220624"</f>
        <v>00729220624</v>
      </c>
      <c r="K132" t="str">
        <f>""</f>
        <v/>
      </c>
      <c r="M132" t="s">
        <v>68</v>
      </c>
      <c r="N132" t="str">
        <f t="shared" si="14"/>
        <v>FOR</v>
      </c>
      <c r="O132" t="s">
        <v>69</v>
      </c>
      <c r="P132" t="s">
        <v>75</v>
      </c>
      <c r="Q132">
        <v>2016</v>
      </c>
      <c r="R132" s="4">
        <v>42633</v>
      </c>
      <c r="S132" s="2">
        <v>42635</v>
      </c>
      <c r="T132" s="2">
        <v>42633</v>
      </c>
      <c r="U132" s="4">
        <v>42693</v>
      </c>
      <c r="V132" t="s">
        <v>71</v>
      </c>
      <c r="W132" t="str">
        <f>"               11/PA"</f>
        <v xml:space="preserve">               11/PA</v>
      </c>
      <c r="X132">
        <v>280.97000000000003</v>
      </c>
      <c r="Y132">
        <v>0</v>
      </c>
      <c r="Z132" s="5">
        <v>230.31</v>
      </c>
      <c r="AA132" s="3">
        <v>79</v>
      </c>
      <c r="AB132" s="5">
        <v>18194.490000000002</v>
      </c>
      <c r="AC132">
        <v>230.31</v>
      </c>
      <c r="AD132">
        <v>79</v>
      </c>
      <c r="AE132" s="1">
        <v>18194.490000000002</v>
      </c>
      <c r="AF132">
        <v>50.66</v>
      </c>
      <c r="AJ132">
        <v>0</v>
      </c>
      <c r="AK132">
        <v>0</v>
      </c>
      <c r="AL132">
        <v>0</v>
      </c>
      <c r="AM132">
        <v>0</v>
      </c>
      <c r="AN132">
        <v>0</v>
      </c>
      <c r="AO132">
        <v>0</v>
      </c>
      <c r="AP132" s="2">
        <v>42831</v>
      </c>
      <c r="AQ132" t="s">
        <v>72</v>
      </c>
      <c r="AR132" t="s">
        <v>72</v>
      </c>
      <c r="AS132">
        <v>292</v>
      </c>
      <c r="AT132" s="4">
        <v>42772</v>
      </c>
      <c r="AU132" t="s">
        <v>73</v>
      </c>
      <c r="AV132">
        <v>292</v>
      </c>
      <c r="AW132" s="4">
        <v>42772</v>
      </c>
      <c r="BB132">
        <v>50.66</v>
      </c>
      <c r="BD132">
        <v>0</v>
      </c>
      <c r="BN132" t="s">
        <v>74</v>
      </c>
    </row>
    <row r="133" spans="1:66">
      <c r="A133">
        <v>100079</v>
      </c>
      <c r="B133" t="s">
        <v>94</v>
      </c>
      <c r="C133" s="1">
        <v>43300101</v>
      </c>
      <c r="D133" t="s">
        <v>67</v>
      </c>
      <c r="H133" t="str">
        <f t="shared" ref="H133:I137" si="18">"00889160156"</f>
        <v>00889160156</v>
      </c>
      <c r="I133" t="str">
        <f t="shared" si="18"/>
        <v>00889160156</v>
      </c>
      <c r="K133" t="str">
        <f>""</f>
        <v/>
      </c>
      <c r="M133" t="s">
        <v>68</v>
      </c>
      <c r="N133" t="str">
        <f t="shared" si="14"/>
        <v>FOR</v>
      </c>
      <c r="O133" t="s">
        <v>69</v>
      </c>
      <c r="P133" t="s">
        <v>75</v>
      </c>
      <c r="Q133">
        <v>2016</v>
      </c>
      <c r="R133" s="4">
        <v>42432</v>
      </c>
      <c r="S133" s="2">
        <v>42436</v>
      </c>
      <c r="T133" s="2">
        <v>42432</v>
      </c>
      <c r="U133" s="4">
        <v>42492</v>
      </c>
      <c r="V133" t="s">
        <v>71</v>
      </c>
      <c r="W133" t="str">
        <f>"          2016004889"</f>
        <v xml:space="preserve">          2016004889</v>
      </c>
      <c r="X133">
        <v>671.05</v>
      </c>
      <c r="Y133">
        <v>0</v>
      </c>
      <c r="Z133" s="5">
        <v>550.04</v>
      </c>
      <c r="AA133" s="3">
        <v>274</v>
      </c>
      <c r="AB133" s="5">
        <v>150710.96</v>
      </c>
      <c r="AC133">
        <v>550.04</v>
      </c>
      <c r="AD133">
        <v>274</v>
      </c>
      <c r="AE133" s="1">
        <v>150710.96</v>
      </c>
      <c r="AF133">
        <v>0</v>
      </c>
      <c r="AJ133">
        <v>0</v>
      </c>
      <c r="AK133">
        <v>0</v>
      </c>
      <c r="AL133">
        <v>0</v>
      </c>
      <c r="AM133">
        <v>0</v>
      </c>
      <c r="AN133">
        <v>0</v>
      </c>
      <c r="AO133">
        <v>0</v>
      </c>
      <c r="AP133" s="2">
        <v>42831</v>
      </c>
      <c r="AQ133" t="s">
        <v>72</v>
      </c>
      <c r="AR133" t="s">
        <v>72</v>
      </c>
      <c r="AS133">
        <v>162</v>
      </c>
      <c r="AT133" s="4">
        <v>42766</v>
      </c>
      <c r="AU133" t="s">
        <v>73</v>
      </c>
      <c r="AV133">
        <v>162</v>
      </c>
      <c r="AW133" s="4">
        <v>42766</v>
      </c>
      <c r="BD133">
        <v>0</v>
      </c>
      <c r="BN133" t="s">
        <v>74</v>
      </c>
    </row>
    <row r="134" spans="1:66">
      <c r="A134">
        <v>100079</v>
      </c>
      <c r="B134" t="s">
        <v>94</v>
      </c>
      <c r="C134" s="1">
        <v>43300101</v>
      </c>
      <c r="D134" t="s">
        <v>67</v>
      </c>
      <c r="H134" t="str">
        <f t="shared" si="18"/>
        <v>00889160156</v>
      </c>
      <c r="I134" t="str">
        <f t="shared" si="18"/>
        <v>00889160156</v>
      </c>
      <c r="K134" t="str">
        <f>""</f>
        <v/>
      </c>
      <c r="M134" t="s">
        <v>68</v>
      </c>
      <c r="N134" t="str">
        <f t="shared" si="14"/>
        <v>FOR</v>
      </c>
      <c r="O134" t="s">
        <v>69</v>
      </c>
      <c r="P134" t="s">
        <v>75</v>
      </c>
      <c r="Q134">
        <v>2016</v>
      </c>
      <c r="R134" s="4">
        <v>42440</v>
      </c>
      <c r="S134" s="2">
        <v>42443</v>
      </c>
      <c r="T134" s="2">
        <v>42441</v>
      </c>
      <c r="U134" s="4">
        <v>42501</v>
      </c>
      <c r="V134" t="s">
        <v>71</v>
      </c>
      <c r="W134" t="str">
        <f>"          2016005625"</f>
        <v xml:space="preserve">          2016005625</v>
      </c>
      <c r="X134" s="1">
        <v>1397.4</v>
      </c>
      <c r="Y134">
        <v>0</v>
      </c>
      <c r="Z134" s="5">
        <v>1145.4100000000001</v>
      </c>
      <c r="AA134" s="3">
        <v>265</v>
      </c>
      <c r="AB134" s="5">
        <v>303533.65000000002</v>
      </c>
      <c r="AC134" s="1">
        <v>1145.4100000000001</v>
      </c>
      <c r="AD134">
        <v>265</v>
      </c>
      <c r="AE134" s="1">
        <v>303533.65000000002</v>
      </c>
      <c r="AF134">
        <v>0</v>
      </c>
      <c r="AJ134">
        <v>0</v>
      </c>
      <c r="AK134">
        <v>0</v>
      </c>
      <c r="AL134">
        <v>0</v>
      </c>
      <c r="AM134">
        <v>0</v>
      </c>
      <c r="AN134">
        <v>0</v>
      </c>
      <c r="AO134">
        <v>0</v>
      </c>
      <c r="AP134" s="2">
        <v>42831</v>
      </c>
      <c r="AQ134" t="s">
        <v>72</v>
      </c>
      <c r="AR134" t="s">
        <v>72</v>
      </c>
      <c r="AS134">
        <v>162</v>
      </c>
      <c r="AT134" s="4">
        <v>42766</v>
      </c>
      <c r="AU134" t="s">
        <v>73</v>
      </c>
      <c r="AV134">
        <v>162</v>
      </c>
      <c r="AW134" s="4">
        <v>42766</v>
      </c>
      <c r="BD134">
        <v>0</v>
      </c>
      <c r="BN134" t="s">
        <v>74</v>
      </c>
    </row>
    <row r="135" spans="1:66">
      <c r="A135">
        <v>100079</v>
      </c>
      <c r="B135" t="s">
        <v>94</v>
      </c>
      <c r="C135" s="1">
        <v>43300101</v>
      </c>
      <c r="D135" t="s">
        <v>67</v>
      </c>
      <c r="H135" t="str">
        <f t="shared" si="18"/>
        <v>00889160156</v>
      </c>
      <c r="I135" t="str">
        <f t="shared" si="18"/>
        <v>00889160156</v>
      </c>
      <c r="K135" t="str">
        <f>""</f>
        <v/>
      </c>
      <c r="M135" t="s">
        <v>68</v>
      </c>
      <c r="N135" t="str">
        <f t="shared" si="14"/>
        <v>FOR</v>
      </c>
      <c r="O135" t="s">
        <v>69</v>
      </c>
      <c r="P135" t="s">
        <v>75</v>
      </c>
      <c r="Q135">
        <v>2016</v>
      </c>
      <c r="R135" s="4">
        <v>42677</v>
      </c>
      <c r="S135" s="2">
        <v>42683</v>
      </c>
      <c r="T135" s="2">
        <v>42678</v>
      </c>
      <c r="U135" s="4">
        <v>42738</v>
      </c>
      <c r="V135" t="s">
        <v>71</v>
      </c>
      <c r="W135" t="str">
        <f>"          2016028748"</f>
        <v xml:space="preserve">          2016028748</v>
      </c>
      <c r="X135">
        <v>822.43</v>
      </c>
      <c r="Y135">
        <v>0</v>
      </c>
      <c r="Z135" s="5">
        <v>674.12</v>
      </c>
      <c r="AA135" s="3">
        <v>28</v>
      </c>
      <c r="AB135" s="5">
        <v>18875.36</v>
      </c>
      <c r="AC135">
        <v>674.12</v>
      </c>
      <c r="AD135">
        <v>28</v>
      </c>
      <c r="AE135" s="1">
        <v>18875.36</v>
      </c>
      <c r="AF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 s="2">
        <v>42831</v>
      </c>
      <c r="AQ135" t="s">
        <v>72</v>
      </c>
      <c r="AR135" t="s">
        <v>72</v>
      </c>
      <c r="AS135">
        <v>162</v>
      </c>
      <c r="AT135" s="4">
        <v>42766</v>
      </c>
      <c r="AU135" t="s">
        <v>73</v>
      </c>
      <c r="AV135">
        <v>162</v>
      </c>
      <c r="AW135" s="4">
        <v>42766</v>
      </c>
      <c r="BD135">
        <v>0</v>
      </c>
      <c r="BN135" t="s">
        <v>74</v>
      </c>
    </row>
    <row r="136" spans="1:66">
      <c r="A136">
        <v>100079</v>
      </c>
      <c r="B136" t="s">
        <v>94</v>
      </c>
      <c r="C136" s="1">
        <v>43300101</v>
      </c>
      <c r="D136" t="s">
        <v>67</v>
      </c>
      <c r="H136" t="str">
        <f t="shared" si="18"/>
        <v>00889160156</v>
      </c>
      <c r="I136" t="str">
        <f t="shared" si="18"/>
        <v>00889160156</v>
      </c>
      <c r="K136" t="str">
        <f>""</f>
        <v/>
      </c>
      <c r="M136" t="s">
        <v>68</v>
      </c>
      <c r="N136" t="str">
        <f t="shared" si="14"/>
        <v>FOR</v>
      </c>
      <c r="O136" t="s">
        <v>69</v>
      </c>
      <c r="P136" t="s">
        <v>75</v>
      </c>
      <c r="Q136">
        <v>2016</v>
      </c>
      <c r="R136" s="4">
        <v>42684</v>
      </c>
      <c r="S136" s="2">
        <v>42690</v>
      </c>
      <c r="T136" s="2">
        <v>42685</v>
      </c>
      <c r="U136" s="4">
        <v>42745</v>
      </c>
      <c r="V136" t="s">
        <v>71</v>
      </c>
      <c r="W136" t="str">
        <f>"          2016029600"</f>
        <v xml:space="preserve">          2016029600</v>
      </c>
      <c r="X136">
        <v>92.23</v>
      </c>
      <c r="Y136">
        <v>0</v>
      </c>
      <c r="Z136" s="5">
        <v>75.599999999999994</v>
      </c>
      <c r="AA136" s="3">
        <v>21</v>
      </c>
      <c r="AB136" s="5">
        <v>1587.6</v>
      </c>
      <c r="AC136">
        <v>75.599999999999994</v>
      </c>
      <c r="AD136">
        <v>21</v>
      </c>
      <c r="AE136" s="1">
        <v>1587.6</v>
      </c>
      <c r="AF136">
        <v>0</v>
      </c>
      <c r="AJ136">
        <v>0</v>
      </c>
      <c r="AK136">
        <v>0</v>
      </c>
      <c r="AL136">
        <v>0</v>
      </c>
      <c r="AM136">
        <v>0</v>
      </c>
      <c r="AN136">
        <v>0</v>
      </c>
      <c r="AO136">
        <v>0</v>
      </c>
      <c r="AP136" s="2">
        <v>42831</v>
      </c>
      <c r="AQ136" t="s">
        <v>72</v>
      </c>
      <c r="AR136" t="s">
        <v>72</v>
      </c>
      <c r="AS136">
        <v>162</v>
      </c>
      <c r="AT136" s="4">
        <v>42766</v>
      </c>
      <c r="AU136" t="s">
        <v>73</v>
      </c>
      <c r="AV136">
        <v>162</v>
      </c>
      <c r="AW136" s="4">
        <v>42766</v>
      </c>
      <c r="BD136">
        <v>0</v>
      </c>
      <c r="BN136" t="s">
        <v>74</v>
      </c>
    </row>
    <row r="137" spans="1:66">
      <c r="A137">
        <v>100079</v>
      </c>
      <c r="B137" t="s">
        <v>94</v>
      </c>
      <c r="C137" s="1">
        <v>43300101</v>
      </c>
      <c r="D137" t="s">
        <v>67</v>
      </c>
      <c r="H137" t="str">
        <f t="shared" si="18"/>
        <v>00889160156</v>
      </c>
      <c r="I137" t="str">
        <f t="shared" si="18"/>
        <v>00889160156</v>
      </c>
      <c r="K137" t="str">
        <f>""</f>
        <v/>
      </c>
      <c r="M137" t="s">
        <v>68</v>
      </c>
      <c r="N137" t="str">
        <f t="shared" si="14"/>
        <v>FOR</v>
      </c>
      <c r="O137" t="s">
        <v>69</v>
      </c>
      <c r="P137" t="s">
        <v>75</v>
      </c>
      <c r="Q137">
        <v>2016</v>
      </c>
      <c r="R137" s="4">
        <v>42692</v>
      </c>
      <c r="S137" s="2">
        <v>42697</v>
      </c>
      <c r="T137" s="2">
        <v>42695</v>
      </c>
      <c r="U137" s="4">
        <v>42755</v>
      </c>
      <c r="V137" t="s">
        <v>71</v>
      </c>
      <c r="W137" t="str">
        <f>"          2016030714"</f>
        <v xml:space="preserve">          2016030714</v>
      </c>
      <c r="X137">
        <v>77.489999999999995</v>
      </c>
      <c r="Y137">
        <v>0</v>
      </c>
      <c r="Z137" s="5">
        <v>63.52</v>
      </c>
      <c r="AA137" s="3">
        <v>11</v>
      </c>
      <c r="AB137" s="3">
        <v>698.72</v>
      </c>
      <c r="AC137">
        <v>63.52</v>
      </c>
      <c r="AD137">
        <v>11</v>
      </c>
      <c r="AE137">
        <v>698.72</v>
      </c>
      <c r="AF137">
        <v>0</v>
      </c>
      <c r="AJ137">
        <v>0</v>
      </c>
      <c r="AK137">
        <v>0</v>
      </c>
      <c r="AL137">
        <v>0</v>
      </c>
      <c r="AM137">
        <v>0</v>
      </c>
      <c r="AN137">
        <v>0</v>
      </c>
      <c r="AO137">
        <v>0</v>
      </c>
      <c r="AP137" s="2">
        <v>42831</v>
      </c>
      <c r="AQ137" t="s">
        <v>72</v>
      </c>
      <c r="AR137" t="s">
        <v>72</v>
      </c>
      <c r="AS137">
        <v>162</v>
      </c>
      <c r="AT137" s="4">
        <v>42766</v>
      </c>
      <c r="AU137" t="s">
        <v>73</v>
      </c>
      <c r="AV137">
        <v>162</v>
      </c>
      <c r="AW137" s="4">
        <v>42766</v>
      </c>
      <c r="BD137">
        <v>0</v>
      </c>
      <c r="BN137" t="s">
        <v>74</v>
      </c>
    </row>
    <row r="138" spans="1:66">
      <c r="A138">
        <v>100082</v>
      </c>
      <c r="B138" t="s">
        <v>95</v>
      </c>
      <c r="C138" s="1">
        <v>43300101</v>
      </c>
      <c r="D138" t="s">
        <v>67</v>
      </c>
      <c r="H138" t="str">
        <f>"01130960626"</f>
        <v>01130960626</v>
      </c>
      <c r="I138" t="str">
        <f>"01130960626"</f>
        <v>01130960626</v>
      </c>
      <c r="K138" t="str">
        <f>""</f>
        <v/>
      </c>
      <c r="M138" t="s">
        <v>68</v>
      </c>
      <c r="N138" t="str">
        <f t="shared" si="14"/>
        <v>FOR</v>
      </c>
      <c r="O138" t="s">
        <v>69</v>
      </c>
      <c r="P138" t="s">
        <v>75</v>
      </c>
      <c r="Q138">
        <v>2016</v>
      </c>
      <c r="R138" s="4">
        <v>42655</v>
      </c>
      <c r="S138" s="2">
        <v>42660</v>
      </c>
      <c r="T138" s="2">
        <v>42657</v>
      </c>
      <c r="U138" s="4">
        <v>42717</v>
      </c>
      <c r="V138" t="s">
        <v>71</v>
      </c>
      <c r="W138" t="str">
        <f>"            410/2016"</f>
        <v xml:space="preserve">            410/2016</v>
      </c>
      <c r="X138" s="1">
        <v>7651.84</v>
      </c>
      <c r="Y138">
        <v>0</v>
      </c>
      <c r="Z138" s="5">
        <v>6272</v>
      </c>
      <c r="AA138" s="3">
        <v>92</v>
      </c>
      <c r="AB138" s="5">
        <v>577024</v>
      </c>
      <c r="AC138" s="1">
        <v>6272</v>
      </c>
      <c r="AD138">
        <v>92</v>
      </c>
      <c r="AE138" s="1">
        <v>577024</v>
      </c>
      <c r="AF138" s="1">
        <v>1379.84</v>
      </c>
      <c r="AJ138">
        <v>0</v>
      </c>
      <c r="AK138">
        <v>0</v>
      </c>
      <c r="AL138">
        <v>0</v>
      </c>
      <c r="AM138">
        <v>0</v>
      </c>
      <c r="AN138">
        <v>0</v>
      </c>
      <c r="AO138">
        <v>0</v>
      </c>
      <c r="AP138" s="2">
        <v>42831</v>
      </c>
      <c r="AQ138" t="s">
        <v>72</v>
      </c>
      <c r="AR138" t="s">
        <v>72</v>
      </c>
      <c r="AS138">
        <v>760</v>
      </c>
      <c r="AT138" s="4">
        <v>42809</v>
      </c>
      <c r="AU138" t="s">
        <v>73</v>
      </c>
      <c r="AV138">
        <v>760</v>
      </c>
      <c r="AW138" s="4">
        <v>42809</v>
      </c>
      <c r="BA138" s="1">
        <v>1379.84</v>
      </c>
      <c r="BD138">
        <v>0</v>
      </c>
      <c r="BN138" t="s">
        <v>74</v>
      </c>
    </row>
    <row r="139" spans="1:66">
      <c r="A139">
        <v>100086</v>
      </c>
      <c r="B139" t="s">
        <v>96</v>
      </c>
      <c r="C139" s="1">
        <v>43300101</v>
      </c>
      <c r="D139" t="s">
        <v>67</v>
      </c>
      <c r="H139" t="str">
        <f>"00458450012"</f>
        <v>00458450012</v>
      </c>
      <c r="I139" t="str">
        <f>"00458450012"</f>
        <v>00458450012</v>
      </c>
      <c r="K139" t="str">
        <f>""</f>
        <v/>
      </c>
      <c r="M139" t="s">
        <v>68</v>
      </c>
      <c r="N139" t="str">
        <f t="shared" si="14"/>
        <v>FOR</v>
      </c>
      <c r="O139" t="s">
        <v>69</v>
      </c>
      <c r="P139" t="s">
        <v>75</v>
      </c>
      <c r="Q139">
        <v>2016</v>
      </c>
      <c r="R139" s="4">
        <v>42447</v>
      </c>
      <c r="S139" s="2">
        <v>42472</v>
      </c>
      <c r="T139" s="2">
        <v>42464</v>
      </c>
      <c r="U139" s="4">
        <v>42524</v>
      </c>
      <c r="V139" t="s">
        <v>71</v>
      </c>
      <c r="W139" t="str">
        <f>"              V4-690"</f>
        <v xml:space="preserve">              V4-690</v>
      </c>
      <c r="X139" s="1">
        <v>3085.28</v>
      </c>
      <c r="Y139">
        <v>0</v>
      </c>
      <c r="Z139" s="5">
        <v>2528.92</v>
      </c>
      <c r="AA139" s="3">
        <v>242</v>
      </c>
      <c r="AB139" s="5">
        <v>611998.64</v>
      </c>
      <c r="AC139" s="1">
        <v>2528.92</v>
      </c>
      <c r="AD139">
        <v>242</v>
      </c>
      <c r="AE139" s="1">
        <v>611998.64</v>
      </c>
      <c r="AF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 s="2">
        <v>42831</v>
      </c>
      <c r="AQ139" t="s">
        <v>72</v>
      </c>
      <c r="AR139" t="s">
        <v>72</v>
      </c>
      <c r="AS139">
        <v>164</v>
      </c>
      <c r="AT139" s="4">
        <v>42766</v>
      </c>
      <c r="AU139" t="s">
        <v>73</v>
      </c>
      <c r="AV139">
        <v>164</v>
      </c>
      <c r="AW139" s="4">
        <v>42766</v>
      </c>
      <c r="BD139">
        <v>0</v>
      </c>
      <c r="BN139" t="s">
        <v>74</v>
      </c>
    </row>
    <row r="140" spans="1:66">
      <c r="A140">
        <v>100086</v>
      </c>
      <c r="B140" t="s">
        <v>96</v>
      </c>
      <c r="C140" s="1">
        <v>43300101</v>
      </c>
      <c r="D140" t="s">
        <v>67</v>
      </c>
      <c r="H140" t="str">
        <f>"00458450012"</f>
        <v>00458450012</v>
      </c>
      <c r="I140" t="str">
        <f>"00458450012"</f>
        <v>00458450012</v>
      </c>
      <c r="K140" t="str">
        <f>""</f>
        <v/>
      </c>
      <c r="M140" t="s">
        <v>68</v>
      </c>
      <c r="N140" t="str">
        <f t="shared" si="14"/>
        <v>FOR</v>
      </c>
      <c r="O140" t="s">
        <v>69</v>
      </c>
      <c r="P140" t="s">
        <v>75</v>
      </c>
      <c r="Q140">
        <v>2016</v>
      </c>
      <c r="R140" s="4">
        <v>42453</v>
      </c>
      <c r="S140" s="2">
        <v>42473</v>
      </c>
      <c r="T140" s="2">
        <v>42466</v>
      </c>
      <c r="U140" s="4">
        <v>42526</v>
      </c>
      <c r="V140" t="s">
        <v>71</v>
      </c>
      <c r="W140" t="str">
        <f>"              V4-768"</f>
        <v xml:space="preserve">              V4-768</v>
      </c>
      <c r="X140">
        <v>208.96</v>
      </c>
      <c r="Y140">
        <v>0</v>
      </c>
      <c r="Z140" s="5">
        <v>171.28</v>
      </c>
      <c r="AA140" s="3">
        <v>240</v>
      </c>
      <c r="AB140" s="5">
        <v>41107.199999999997</v>
      </c>
      <c r="AC140">
        <v>171.28</v>
      </c>
      <c r="AD140">
        <v>240</v>
      </c>
      <c r="AE140" s="1">
        <v>41107.199999999997</v>
      </c>
      <c r="AF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 s="2">
        <v>42831</v>
      </c>
      <c r="AQ140" t="s">
        <v>72</v>
      </c>
      <c r="AR140" t="s">
        <v>72</v>
      </c>
      <c r="AS140">
        <v>164</v>
      </c>
      <c r="AT140" s="4">
        <v>42766</v>
      </c>
      <c r="AU140" t="s">
        <v>73</v>
      </c>
      <c r="AV140">
        <v>164</v>
      </c>
      <c r="AW140" s="4">
        <v>42766</v>
      </c>
      <c r="BD140">
        <v>0</v>
      </c>
      <c r="BN140" t="s">
        <v>74</v>
      </c>
    </row>
    <row r="141" spans="1:66" hidden="1">
      <c r="A141">
        <v>100090</v>
      </c>
      <c r="B141" t="s">
        <v>97</v>
      </c>
      <c r="C141" s="1">
        <v>43500101</v>
      </c>
      <c r="D141" t="s">
        <v>98</v>
      </c>
      <c r="H141" t="str">
        <f>"92017650620"</f>
        <v>92017650620</v>
      </c>
      <c r="I141" t="str">
        <f>""</f>
        <v/>
      </c>
      <c r="K141" t="str">
        <f>""</f>
        <v/>
      </c>
      <c r="M141" t="s">
        <v>68</v>
      </c>
      <c r="N141" t="str">
        <f>"ALT"</f>
        <v>ALT</v>
      </c>
      <c r="O141" t="s">
        <v>99</v>
      </c>
      <c r="P141" t="s">
        <v>82</v>
      </c>
      <c r="Q141">
        <v>2017</v>
      </c>
      <c r="R141" s="4">
        <v>42755</v>
      </c>
      <c r="S141" s="2">
        <v>42755</v>
      </c>
      <c r="T141" s="2">
        <v>42755</v>
      </c>
      <c r="U141" s="4">
        <v>42815</v>
      </c>
      <c r="V141" t="s">
        <v>71</v>
      </c>
      <c r="W141" t="str">
        <f>"                0120"</f>
        <v xml:space="preserve">                0120</v>
      </c>
      <c r="X141">
        <v>0</v>
      </c>
      <c r="Y141" s="1">
        <v>1320</v>
      </c>
      <c r="Z141" s="5">
        <v>1320</v>
      </c>
      <c r="AA141" s="3">
        <v>-57</v>
      </c>
      <c r="AB141" s="5">
        <v>-75240</v>
      </c>
      <c r="AC141" s="1">
        <v>1320</v>
      </c>
      <c r="AD141">
        <v>-57</v>
      </c>
      <c r="AE141" s="1">
        <v>-75240</v>
      </c>
      <c r="AF141">
        <v>0</v>
      </c>
      <c r="AJ141" s="1">
        <v>1320</v>
      </c>
      <c r="AK141" s="1">
        <v>1320</v>
      </c>
      <c r="AL141" s="1">
        <v>1320</v>
      </c>
      <c r="AM141" s="1">
        <v>1320</v>
      </c>
      <c r="AN141" s="1">
        <v>1320</v>
      </c>
      <c r="AO141" s="1">
        <v>1320</v>
      </c>
      <c r="AP141" s="2">
        <v>42831</v>
      </c>
      <c r="AQ141" t="s">
        <v>72</v>
      </c>
      <c r="AR141" t="s">
        <v>72</v>
      </c>
      <c r="AS141">
        <v>23</v>
      </c>
      <c r="AT141" s="4">
        <v>42758</v>
      </c>
      <c r="AV141">
        <v>23</v>
      </c>
      <c r="AW141" s="4">
        <v>42758</v>
      </c>
      <c r="BD141">
        <v>0</v>
      </c>
      <c r="BN141" t="s">
        <v>74</v>
      </c>
    </row>
    <row r="142" spans="1:66" hidden="1">
      <c r="A142">
        <v>100090</v>
      </c>
      <c r="B142" t="s">
        <v>97</v>
      </c>
      <c r="C142" s="1">
        <v>43500101</v>
      </c>
      <c r="D142" t="s">
        <v>98</v>
      </c>
      <c r="H142" t="str">
        <f>"92017650620"</f>
        <v>92017650620</v>
      </c>
      <c r="I142" t="str">
        <f>""</f>
        <v/>
      </c>
      <c r="K142" t="str">
        <f>""</f>
        <v/>
      </c>
      <c r="M142" t="s">
        <v>68</v>
      </c>
      <c r="N142" t="str">
        <f>"ALT"</f>
        <v>ALT</v>
      </c>
      <c r="O142" t="s">
        <v>99</v>
      </c>
      <c r="P142" t="s">
        <v>83</v>
      </c>
      <c r="Q142">
        <v>2017</v>
      </c>
      <c r="R142" s="4">
        <v>42786</v>
      </c>
      <c r="S142" s="2">
        <v>42787</v>
      </c>
      <c r="T142" s="2">
        <v>42787</v>
      </c>
      <c r="U142" s="4">
        <v>42847</v>
      </c>
      <c r="V142" t="s">
        <v>71</v>
      </c>
      <c r="W142" t="str">
        <f>"                0220"</f>
        <v xml:space="preserve">                0220</v>
      </c>
      <c r="X142">
        <v>0</v>
      </c>
      <c r="Y142" s="1">
        <v>2000</v>
      </c>
      <c r="Z142" s="5">
        <v>2000</v>
      </c>
      <c r="AA142" s="3">
        <v>-60</v>
      </c>
      <c r="AB142" s="5">
        <v>-120000</v>
      </c>
      <c r="AC142" s="1">
        <v>2000</v>
      </c>
      <c r="AD142">
        <v>-60</v>
      </c>
      <c r="AE142" s="1">
        <v>-120000</v>
      </c>
      <c r="AF142">
        <v>0</v>
      </c>
      <c r="AJ142" s="1">
        <v>2000</v>
      </c>
      <c r="AK142" s="1">
        <v>2000</v>
      </c>
      <c r="AL142" s="1">
        <v>2000</v>
      </c>
      <c r="AM142" s="1">
        <v>2000</v>
      </c>
      <c r="AN142" s="1">
        <v>2000</v>
      </c>
      <c r="AO142" s="1">
        <v>2000</v>
      </c>
      <c r="AP142" s="2">
        <v>42831</v>
      </c>
      <c r="AQ142" t="s">
        <v>72</v>
      </c>
      <c r="AR142" t="s">
        <v>72</v>
      </c>
      <c r="AS142">
        <v>503</v>
      </c>
      <c r="AT142" s="4">
        <v>42787</v>
      </c>
      <c r="AV142">
        <v>503</v>
      </c>
      <c r="AW142" s="4">
        <v>42787</v>
      </c>
      <c r="BD142">
        <v>0</v>
      </c>
      <c r="BN142" t="s">
        <v>74</v>
      </c>
    </row>
    <row r="143" spans="1:66" hidden="1">
      <c r="A143">
        <v>100090</v>
      </c>
      <c r="B143" t="s">
        <v>97</v>
      </c>
      <c r="C143" s="1">
        <v>43500101</v>
      </c>
      <c r="D143" t="s">
        <v>98</v>
      </c>
      <c r="H143" t="str">
        <f>"92017650620"</f>
        <v>92017650620</v>
      </c>
      <c r="I143" t="str">
        <f>""</f>
        <v/>
      </c>
      <c r="K143" t="str">
        <f>""</f>
        <v/>
      </c>
      <c r="M143" t="s">
        <v>68</v>
      </c>
      <c r="N143" t="str">
        <f>"ALT"</f>
        <v>ALT</v>
      </c>
      <c r="O143" t="s">
        <v>99</v>
      </c>
      <c r="P143" t="s">
        <v>84</v>
      </c>
      <c r="Q143">
        <v>2017</v>
      </c>
      <c r="R143" s="4">
        <v>42815</v>
      </c>
      <c r="S143" s="2">
        <v>42815</v>
      </c>
      <c r="T143" s="2">
        <v>42815</v>
      </c>
      <c r="U143" s="4">
        <v>42875</v>
      </c>
      <c r="V143" t="s">
        <v>71</v>
      </c>
      <c r="W143" t="str">
        <f>"                0321"</f>
        <v xml:space="preserve">                0321</v>
      </c>
      <c r="X143">
        <v>0</v>
      </c>
      <c r="Y143" s="1">
        <v>1754.13</v>
      </c>
      <c r="Z143" s="5">
        <v>1754.13</v>
      </c>
      <c r="AA143" s="3">
        <v>-60</v>
      </c>
      <c r="AB143" s="5">
        <v>-105247.8</v>
      </c>
      <c r="AC143" s="1">
        <v>1754.13</v>
      </c>
      <c r="AD143">
        <v>-60</v>
      </c>
      <c r="AE143" s="1">
        <v>-105247.8</v>
      </c>
      <c r="AF143">
        <v>0</v>
      </c>
      <c r="AJ143" s="1">
        <v>1754.13</v>
      </c>
      <c r="AK143" s="1">
        <v>1754.13</v>
      </c>
      <c r="AL143" s="1">
        <v>1754.13</v>
      </c>
      <c r="AM143" s="1">
        <v>1754.13</v>
      </c>
      <c r="AN143" s="1">
        <v>1754.13</v>
      </c>
      <c r="AO143" s="1">
        <v>1754.13</v>
      </c>
      <c r="AP143" s="2">
        <v>42831</v>
      </c>
      <c r="AQ143" t="s">
        <v>72</v>
      </c>
      <c r="AR143" t="s">
        <v>72</v>
      </c>
      <c r="AS143">
        <v>800</v>
      </c>
      <c r="AT143" s="4">
        <v>42815</v>
      </c>
      <c r="AV143">
        <v>800</v>
      </c>
      <c r="AW143" s="4">
        <v>42815</v>
      </c>
      <c r="BD143">
        <v>0</v>
      </c>
      <c r="BN143" t="s">
        <v>74</v>
      </c>
    </row>
    <row r="144" spans="1:66">
      <c r="A144">
        <v>100099</v>
      </c>
      <c r="B144" t="s">
        <v>100</v>
      </c>
      <c r="C144" s="1">
        <v>43300101</v>
      </c>
      <c r="D144" t="s">
        <v>67</v>
      </c>
      <c r="H144" t="str">
        <f>"06713240635"</f>
        <v>06713240635</v>
      </c>
      <c r="I144" t="str">
        <f>"06713240635"</f>
        <v>06713240635</v>
      </c>
      <c r="K144" t="str">
        <f>""</f>
        <v/>
      </c>
      <c r="M144" t="s">
        <v>68</v>
      </c>
      <c r="N144" t="str">
        <f>"FOR"</f>
        <v>FOR</v>
      </c>
      <c r="O144" t="s">
        <v>69</v>
      </c>
      <c r="P144" t="s">
        <v>75</v>
      </c>
      <c r="Q144">
        <v>2017</v>
      </c>
      <c r="R144" s="4">
        <v>42760</v>
      </c>
      <c r="S144" s="2">
        <v>42767</v>
      </c>
      <c r="T144" s="2">
        <v>42767</v>
      </c>
      <c r="U144" s="4">
        <v>42827</v>
      </c>
      <c r="V144" t="s">
        <v>71</v>
      </c>
      <c r="W144" t="str">
        <f>"               1/PAE"</f>
        <v xml:space="preserve">               1/PAE</v>
      </c>
      <c r="X144">
        <v>256.2</v>
      </c>
      <c r="Y144">
        <v>0</v>
      </c>
      <c r="Z144" s="5">
        <v>210</v>
      </c>
      <c r="AA144" s="3">
        <v>-23</v>
      </c>
      <c r="AB144" s="5">
        <v>-4830</v>
      </c>
      <c r="AC144">
        <v>210</v>
      </c>
      <c r="AD144">
        <v>-23</v>
      </c>
      <c r="AE144" s="1">
        <v>-4830</v>
      </c>
      <c r="AF144">
        <v>46.2</v>
      </c>
      <c r="AJ144">
        <v>0</v>
      </c>
      <c r="AK144">
        <v>256.2</v>
      </c>
      <c r="AL144">
        <v>256.2</v>
      </c>
      <c r="AM144">
        <v>0</v>
      </c>
      <c r="AN144">
        <v>256.2</v>
      </c>
      <c r="AO144">
        <v>256.2</v>
      </c>
      <c r="AP144" s="2">
        <v>42831</v>
      </c>
      <c r="AQ144" t="s">
        <v>72</v>
      </c>
      <c r="AR144" t="s">
        <v>72</v>
      </c>
      <c r="AS144">
        <v>755</v>
      </c>
      <c r="AT144" s="4">
        <v>42804</v>
      </c>
      <c r="AV144">
        <v>755</v>
      </c>
      <c r="AW144" s="4">
        <v>42804</v>
      </c>
      <c r="BD144">
        <v>0</v>
      </c>
      <c r="BF144">
        <v>46.2</v>
      </c>
      <c r="BN144" t="s">
        <v>74</v>
      </c>
    </row>
    <row r="145" spans="1:66" hidden="1">
      <c r="A145">
        <v>100114</v>
      </c>
      <c r="B145" t="s">
        <v>101</v>
      </c>
      <c r="C145" s="1">
        <v>43500101</v>
      </c>
      <c r="D145" t="s">
        <v>98</v>
      </c>
      <c r="H145" t="str">
        <f>"00423310630"</f>
        <v>00423310630</v>
      </c>
      <c r="I145" t="str">
        <f>"01241921210"</f>
        <v>01241921210</v>
      </c>
      <c r="K145" t="str">
        <f>""</f>
        <v/>
      </c>
      <c r="M145" t="s">
        <v>68</v>
      </c>
      <c r="N145" t="str">
        <f>"ALTFIN"</f>
        <v>ALTFIN</v>
      </c>
      <c r="O145" t="s">
        <v>102</v>
      </c>
      <c r="P145" t="s">
        <v>82</v>
      </c>
      <c r="Q145">
        <v>2017</v>
      </c>
      <c r="R145" s="4">
        <v>42755</v>
      </c>
      <c r="S145" s="2">
        <v>42755</v>
      </c>
      <c r="T145" s="2">
        <v>42755</v>
      </c>
      <c r="U145" s="4">
        <v>42815</v>
      </c>
      <c r="V145" t="s">
        <v>71</v>
      </c>
      <c r="W145" t="str">
        <f>"                0120"</f>
        <v xml:space="preserve">                0120</v>
      </c>
      <c r="X145">
        <v>0</v>
      </c>
      <c r="Y145" s="1">
        <v>1868.33</v>
      </c>
      <c r="Z145" s="5">
        <v>1868.33</v>
      </c>
      <c r="AA145" s="3">
        <v>-57</v>
      </c>
      <c r="AB145" s="5">
        <v>-106494.81</v>
      </c>
      <c r="AC145" s="1">
        <v>1868.33</v>
      </c>
      <c r="AD145">
        <v>-57</v>
      </c>
      <c r="AE145" s="1">
        <v>-106494.81</v>
      </c>
      <c r="AF145">
        <v>0</v>
      </c>
      <c r="AJ145" s="1">
        <v>1868.33</v>
      </c>
      <c r="AK145" s="1">
        <v>1868.33</v>
      </c>
      <c r="AL145" s="1">
        <v>1868.33</v>
      </c>
      <c r="AM145" s="1">
        <v>1868.33</v>
      </c>
      <c r="AN145" s="1">
        <v>1868.33</v>
      </c>
      <c r="AO145" s="1">
        <v>1868.33</v>
      </c>
      <c r="AP145" s="2">
        <v>42831</v>
      </c>
      <c r="AQ145" t="s">
        <v>72</v>
      </c>
      <c r="AR145" t="s">
        <v>72</v>
      </c>
      <c r="AS145">
        <v>24</v>
      </c>
      <c r="AT145" s="4">
        <v>42758</v>
      </c>
      <c r="AV145">
        <v>24</v>
      </c>
      <c r="AW145" s="4">
        <v>42758</v>
      </c>
      <c r="BD145">
        <v>0</v>
      </c>
      <c r="BN145" t="s">
        <v>74</v>
      </c>
    </row>
    <row r="146" spans="1:66" hidden="1">
      <c r="A146">
        <v>100114</v>
      </c>
      <c r="B146" t="s">
        <v>101</v>
      </c>
      <c r="C146" s="1">
        <v>43500101</v>
      </c>
      <c r="D146" t="s">
        <v>98</v>
      </c>
      <c r="H146" t="str">
        <f>"00423310630"</f>
        <v>00423310630</v>
      </c>
      <c r="I146" t="str">
        <f>"01241921210"</f>
        <v>01241921210</v>
      </c>
      <c r="K146" t="str">
        <f>""</f>
        <v/>
      </c>
      <c r="M146" t="s">
        <v>68</v>
      </c>
      <c r="N146" t="str">
        <f>"ALTFIN"</f>
        <v>ALTFIN</v>
      </c>
      <c r="O146" t="s">
        <v>102</v>
      </c>
      <c r="P146" t="s">
        <v>83</v>
      </c>
      <c r="Q146">
        <v>2017</v>
      </c>
      <c r="R146" s="4">
        <v>42786</v>
      </c>
      <c r="S146" s="2">
        <v>42787</v>
      </c>
      <c r="T146" s="2">
        <v>42787</v>
      </c>
      <c r="U146" s="4">
        <v>42847</v>
      </c>
      <c r="V146" t="s">
        <v>71</v>
      </c>
      <c r="W146" t="str">
        <f>"                0220"</f>
        <v xml:space="preserve">                0220</v>
      </c>
      <c r="X146">
        <v>0</v>
      </c>
      <c r="Y146" s="1">
        <v>1868.33</v>
      </c>
      <c r="Z146" s="5">
        <v>1868.33</v>
      </c>
      <c r="AA146" s="3">
        <v>-60</v>
      </c>
      <c r="AB146" s="5">
        <v>-112099.8</v>
      </c>
      <c r="AC146" s="1">
        <v>1868.33</v>
      </c>
      <c r="AD146">
        <v>-60</v>
      </c>
      <c r="AE146" s="1">
        <v>-112099.8</v>
      </c>
      <c r="AF146">
        <v>0</v>
      </c>
      <c r="AJ146" s="1">
        <v>1868.33</v>
      </c>
      <c r="AK146" s="1">
        <v>1868.33</v>
      </c>
      <c r="AL146" s="1">
        <v>1868.33</v>
      </c>
      <c r="AM146" s="1">
        <v>1868.33</v>
      </c>
      <c r="AN146" s="1">
        <v>1868.33</v>
      </c>
      <c r="AO146" s="1">
        <v>1868.33</v>
      </c>
      <c r="AP146" s="2">
        <v>42831</v>
      </c>
      <c r="AQ146" t="s">
        <v>72</v>
      </c>
      <c r="AR146" t="s">
        <v>72</v>
      </c>
      <c r="AS146">
        <v>504</v>
      </c>
      <c r="AT146" s="4">
        <v>42787</v>
      </c>
      <c r="AV146">
        <v>504</v>
      </c>
      <c r="AW146" s="4">
        <v>42787</v>
      </c>
      <c r="BD146">
        <v>0</v>
      </c>
      <c r="BN146" t="s">
        <v>74</v>
      </c>
    </row>
    <row r="147" spans="1:66" hidden="1">
      <c r="A147">
        <v>100114</v>
      </c>
      <c r="B147" t="s">
        <v>101</v>
      </c>
      <c r="C147" s="1">
        <v>43500101</v>
      </c>
      <c r="D147" t="s">
        <v>98</v>
      </c>
      <c r="H147" t="str">
        <f>"00423310630"</f>
        <v>00423310630</v>
      </c>
      <c r="I147" t="str">
        <f>"01241921210"</f>
        <v>01241921210</v>
      </c>
      <c r="K147" t="str">
        <f>""</f>
        <v/>
      </c>
      <c r="M147" t="s">
        <v>68</v>
      </c>
      <c r="N147" t="str">
        <f>"ALTFIN"</f>
        <v>ALTFIN</v>
      </c>
      <c r="O147" t="s">
        <v>102</v>
      </c>
      <c r="P147" t="s">
        <v>84</v>
      </c>
      <c r="Q147">
        <v>2017</v>
      </c>
      <c r="R147" s="4">
        <v>42815</v>
      </c>
      <c r="S147" s="2">
        <v>42815</v>
      </c>
      <c r="T147" s="2">
        <v>42815</v>
      </c>
      <c r="U147" s="4">
        <v>42875</v>
      </c>
      <c r="V147" t="s">
        <v>71</v>
      </c>
      <c r="W147" t="str">
        <f>"                0321"</f>
        <v xml:space="preserve">                0321</v>
      </c>
      <c r="X147">
        <v>0</v>
      </c>
      <c r="Y147" s="1">
        <v>1868.33</v>
      </c>
      <c r="Z147" s="5">
        <v>1868.33</v>
      </c>
      <c r="AA147" s="3">
        <v>-60</v>
      </c>
      <c r="AB147" s="5">
        <v>-112099.8</v>
      </c>
      <c r="AC147" s="1">
        <v>1868.33</v>
      </c>
      <c r="AD147">
        <v>-60</v>
      </c>
      <c r="AE147" s="1">
        <v>-112099.8</v>
      </c>
      <c r="AF147">
        <v>0</v>
      </c>
      <c r="AJ147" s="1">
        <v>1868.33</v>
      </c>
      <c r="AK147" s="1">
        <v>1868.33</v>
      </c>
      <c r="AL147" s="1">
        <v>1868.33</v>
      </c>
      <c r="AM147" s="1">
        <v>1868.33</v>
      </c>
      <c r="AN147" s="1">
        <v>1868.33</v>
      </c>
      <c r="AO147" s="1">
        <v>1868.33</v>
      </c>
      <c r="AP147" s="2">
        <v>42831</v>
      </c>
      <c r="AQ147" t="s">
        <v>72</v>
      </c>
      <c r="AR147" t="s">
        <v>72</v>
      </c>
      <c r="AS147">
        <v>801</v>
      </c>
      <c r="AT147" s="4">
        <v>42815</v>
      </c>
      <c r="AV147">
        <v>801</v>
      </c>
      <c r="AW147" s="4">
        <v>42815</v>
      </c>
      <c r="BD147">
        <v>0</v>
      </c>
      <c r="BN147" t="s">
        <v>74</v>
      </c>
    </row>
    <row r="148" spans="1:66" hidden="1">
      <c r="A148">
        <v>100115</v>
      </c>
      <c r="B148" t="s">
        <v>103</v>
      </c>
      <c r="C148" s="1">
        <v>43500101</v>
      </c>
      <c r="D148" t="s">
        <v>98</v>
      </c>
      <c r="H148" t="str">
        <f t="shared" ref="H148:I159" si="19">"97095380586"</f>
        <v>97095380586</v>
      </c>
      <c r="I148" t="str">
        <f t="shared" si="19"/>
        <v>97095380586</v>
      </c>
      <c r="K148" t="str">
        <f>""</f>
        <v/>
      </c>
      <c r="M148" t="s">
        <v>68</v>
      </c>
      <c r="N148" t="str">
        <f t="shared" ref="N148:N159" si="20">"ALT"</f>
        <v>ALT</v>
      </c>
      <c r="O148" t="s">
        <v>99</v>
      </c>
      <c r="P148" t="s">
        <v>82</v>
      </c>
      <c r="Q148">
        <v>2017</v>
      </c>
      <c r="R148" s="4">
        <v>42755</v>
      </c>
      <c r="S148" s="2">
        <v>42755</v>
      </c>
      <c r="T148" s="2">
        <v>42755</v>
      </c>
      <c r="U148" s="4">
        <v>42815</v>
      </c>
      <c r="V148" t="s">
        <v>71</v>
      </c>
      <c r="W148" t="str">
        <f>"                0120"</f>
        <v xml:space="preserve">                0120</v>
      </c>
      <c r="X148">
        <v>0</v>
      </c>
      <c r="Y148" s="1">
        <v>14518.35</v>
      </c>
      <c r="Z148" s="5">
        <v>14518.35</v>
      </c>
      <c r="AA148" s="3">
        <v>-57</v>
      </c>
      <c r="AB148" s="5">
        <v>-827545.95</v>
      </c>
      <c r="AC148" s="1">
        <v>14518.35</v>
      </c>
      <c r="AD148">
        <v>-57</v>
      </c>
      <c r="AE148" s="1">
        <v>-827545.95</v>
      </c>
      <c r="AF148">
        <v>0</v>
      </c>
      <c r="AJ148" s="1">
        <v>14518.35</v>
      </c>
      <c r="AK148" s="1">
        <v>14518.35</v>
      </c>
      <c r="AL148" s="1">
        <v>14518.35</v>
      </c>
      <c r="AM148" s="1">
        <v>14518.35</v>
      </c>
      <c r="AN148" s="1">
        <v>14518.35</v>
      </c>
      <c r="AO148" s="1">
        <v>14518.35</v>
      </c>
      <c r="AP148" s="2">
        <v>42831</v>
      </c>
      <c r="AQ148" t="s">
        <v>72</v>
      </c>
      <c r="AR148" t="s">
        <v>72</v>
      </c>
      <c r="AS148">
        <v>92</v>
      </c>
      <c r="AT148" s="4">
        <v>42758</v>
      </c>
      <c r="AV148">
        <v>92</v>
      </c>
      <c r="AW148" s="4">
        <v>42758</v>
      </c>
      <c r="BD148">
        <v>0</v>
      </c>
      <c r="BN148" t="s">
        <v>74</v>
      </c>
    </row>
    <row r="149" spans="1:66" hidden="1">
      <c r="A149">
        <v>100115</v>
      </c>
      <c r="B149" t="s">
        <v>103</v>
      </c>
      <c r="C149" s="1">
        <v>43500101</v>
      </c>
      <c r="D149" t="s">
        <v>98</v>
      </c>
      <c r="H149" t="str">
        <f t="shared" si="19"/>
        <v>97095380586</v>
      </c>
      <c r="I149" t="str">
        <f t="shared" si="19"/>
        <v>97095380586</v>
      </c>
      <c r="K149" t="str">
        <f>""</f>
        <v/>
      </c>
      <c r="M149" t="s">
        <v>68</v>
      </c>
      <c r="N149" t="str">
        <f t="shared" si="20"/>
        <v>ALT</v>
      </c>
      <c r="O149" t="s">
        <v>99</v>
      </c>
      <c r="P149" t="s">
        <v>83</v>
      </c>
      <c r="Q149">
        <v>2017</v>
      </c>
      <c r="R149" s="4">
        <v>42786</v>
      </c>
      <c r="S149" s="2">
        <v>42787</v>
      </c>
      <c r="T149" s="2">
        <v>42787</v>
      </c>
      <c r="U149" s="4">
        <v>42847</v>
      </c>
      <c r="V149" t="s">
        <v>71</v>
      </c>
      <c r="W149" t="str">
        <f>"                0220"</f>
        <v xml:space="preserve">                0220</v>
      </c>
      <c r="X149">
        <v>0</v>
      </c>
      <c r="Y149" s="1">
        <v>14518.35</v>
      </c>
      <c r="Z149" s="5">
        <v>14518.35</v>
      </c>
      <c r="AA149" s="3">
        <v>-60</v>
      </c>
      <c r="AB149" s="5">
        <v>-871101</v>
      </c>
      <c r="AC149" s="1">
        <v>14518.35</v>
      </c>
      <c r="AD149">
        <v>-60</v>
      </c>
      <c r="AE149" s="1">
        <v>-871101</v>
      </c>
      <c r="AF149">
        <v>0</v>
      </c>
      <c r="AJ149" s="1">
        <v>14518.35</v>
      </c>
      <c r="AK149" s="1">
        <v>14518.35</v>
      </c>
      <c r="AL149" s="1">
        <v>14518.35</v>
      </c>
      <c r="AM149" s="1">
        <v>14518.35</v>
      </c>
      <c r="AN149" s="1">
        <v>14518.35</v>
      </c>
      <c r="AO149" s="1">
        <v>14518.35</v>
      </c>
      <c r="AP149" s="2">
        <v>42831</v>
      </c>
      <c r="AQ149" t="s">
        <v>72</v>
      </c>
      <c r="AR149" t="s">
        <v>72</v>
      </c>
      <c r="AS149">
        <v>572</v>
      </c>
      <c r="AT149" s="4">
        <v>42787</v>
      </c>
      <c r="AV149">
        <v>572</v>
      </c>
      <c r="AW149" s="4">
        <v>42787</v>
      </c>
      <c r="BD149">
        <v>0</v>
      </c>
      <c r="BN149" t="s">
        <v>74</v>
      </c>
    </row>
    <row r="150" spans="1:66" hidden="1">
      <c r="A150">
        <v>100115</v>
      </c>
      <c r="B150" t="s">
        <v>103</v>
      </c>
      <c r="C150" s="1">
        <v>43500101</v>
      </c>
      <c r="D150" t="s">
        <v>98</v>
      </c>
      <c r="H150" t="str">
        <f t="shared" si="19"/>
        <v>97095380586</v>
      </c>
      <c r="I150" t="str">
        <f t="shared" si="19"/>
        <v>97095380586</v>
      </c>
      <c r="K150" t="str">
        <f>""</f>
        <v/>
      </c>
      <c r="M150" t="s">
        <v>68</v>
      </c>
      <c r="N150" t="str">
        <f t="shared" si="20"/>
        <v>ALT</v>
      </c>
      <c r="O150" t="s">
        <v>99</v>
      </c>
      <c r="P150" t="s">
        <v>84</v>
      </c>
      <c r="Q150">
        <v>2017</v>
      </c>
      <c r="R150" s="4">
        <v>42815</v>
      </c>
      <c r="S150" s="2">
        <v>42815</v>
      </c>
      <c r="T150" s="2">
        <v>42815</v>
      </c>
      <c r="U150" s="4">
        <v>42875</v>
      </c>
      <c r="V150" t="s">
        <v>71</v>
      </c>
      <c r="W150" t="str">
        <f>"                0321"</f>
        <v xml:space="preserve">                0321</v>
      </c>
      <c r="X150">
        <v>0</v>
      </c>
      <c r="Y150" s="1">
        <v>14518.35</v>
      </c>
      <c r="Z150" s="5">
        <v>14518.35</v>
      </c>
      <c r="AA150" s="3">
        <v>-60</v>
      </c>
      <c r="AB150" s="5">
        <v>-871101</v>
      </c>
      <c r="AC150" s="1">
        <v>14518.35</v>
      </c>
      <c r="AD150">
        <v>-60</v>
      </c>
      <c r="AE150" s="1">
        <v>-871101</v>
      </c>
      <c r="AF150">
        <v>0</v>
      </c>
      <c r="AJ150" s="1">
        <v>14518.35</v>
      </c>
      <c r="AK150" s="1">
        <v>14518.35</v>
      </c>
      <c r="AL150" s="1">
        <v>14518.35</v>
      </c>
      <c r="AM150" s="1">
        <v>14518.35</v>
      </c>
      <c r="AN150" s="1">
        <v>14518.35</v>
      </c>
      <c r="AO150" s="1">
        <v>14518.35</v>
      </c>
      <c r="AP150" s="2">
        <v>42831</v>
      </c>
      <c r="AQ150" t="s">
        <v>72</v>
      </c>
      <c r="AR150" t="s">
        <v>72</v>
      </c>
      <c r="AS150">
        <v>870</v>
      </c>
      <c r="AT150" s="4">
        <v>42815</v>
      </c>
      <c r="AV150">
        <v>870</v>
      </c>
      <c r="AW150" s="4">
        <v>42815</v>
      </c>
      <c r="BD150">
        <v>0</v>
      </c>
      <c r="BN150" t="s">
        <v>74</v>
      </c>
    </row>
    <row r="151" spans="1:66" hidden="1">
      <c r="A151">
        <v>100116</v>
      </c>
      <c r="B151" t="s">
        <v>104</v>
      </c>
      <c r="C151" s="1">
        <v>43500101</v>
      </c>
      <c r="D151" t="s">
        <v>98</v>
      </c>
      <c r="H151" t="str">
        <f t="shared" si="19"/>
        <v>97095380586</v>
      </c>
      <c r="I151" t="str">
        <f t="shared" si="19"/>
        <v>97095380586</v>
      </c>
      <c r="K151" t="str">
        <f>""</f>
        <v/>
      </c>
      <c r="M151" t="s">
        <v>68</v>
      </c>
      <c r="N151" t="str">
        <f t="shared" si="20"/>
        <v>ALT</v>
      </c>
      <c r="O151" t="s">
        <v>99</v>
      </c>
      <c r="P151" t="s">
        <v>82</v>
      </c>
      <c r="Q151">
        <v>2017</v>
      </c>
      <c r="R151" s="4">
        <v>42755</v>
      </c>
      <c r="S151" s="2">
        <v>42755</v>
      </c>
      <c r="T151" s="2">
        <v>42755</v>
      </c>
      <c r="U151" s="4">
        <v>42815</v>
      </c>
      <c r="V151" t="s">
        <v>71</v>
      </c>
      <c r="W151" t="str">
        <f>"                0120"</f>
        <v xml:space="preserve">                0120</v>
      </c>
      <c r="X151">
        <v>0</v>
      </c>
      <c r="Y151" s="1">
        <v>24332.44</v>
      </c>
      <c r="Z151" s="5">
        <v>24332.44</v>
      </c>
      <c r="AA151" s="3">
        <v>-57</v>
      </c>
      <c r="AB151" s="5">
        <v>-1386949.08</v>
      </c>
      <c r="AC151" s="1">
        <v>24332.44</v>
      </c>
      <c r="AD151">
        <v>-57</v>
      </c>
      <c r="AE151" s="1">
        <v>-1386949.08</v>
      </c>
      <c r="AF151">
        <v>0</v>
      </c>
      <c r="AJ151" s="1">
        <v>24332.44</v>
      </c>
      <c r="AK151" s="1">
        <v>24332.44</v>
      </c>
      <c r="AL151" s="1">
        <v>24332.44</v>
      </c>
      <c r="AM151" s="1">
        <v>24332.44</v>
      </c>
      <c r="AN151" s="1">
        <v>24332.44</v>
      </c>
      <c r="AO151" s="1">
        <v>24332.44</v>
      </c>
      <c r="AP151" s="2">
        <v>42831</v>
      </c>
      <c r="AQ151" t="s">
        <v>72</v>
      </c>
      <c r="AR151" t="s">
        <v>72</v>
      </c>
      <c r="AS151">
        <v>93</v>
      </c>
      <c r="AT151" s="4">
        <v>42758</v>
      </c>
      <c r="AV151">
        <v>93</v>
      </c>
      <c r="AW151" s="4">
        <v>42758</v>
      </c>
      <c r="BD151">
        <v>0</v>
      </c>
      <c r="BN151" t="s">
        <v>74</v>
      </c>
    </row>
    <row r="152" spans="1:66" hidden="1">
      <c r="A152">
        <v>100116</v>
      </c>
      <c r="B152" t="s">
        <v>104</v>
      </c>
      <c r="C152" s="1">
        <v>43500101</v>
      </c>
      <c r="D152" t="s">
        <v>98</v>
      </c>
      <c r="H152" t="str">
        <f t="shared" si="19"/>
        <v>97095380586</v>
      </c>
      <c r="I152" t="str">
        <f t="shared" si="19"/>
        <v>97095380586</v>
      </c>
      <c r="K152" t="str">
        <f>""</f>
        <v/>
      </c>
      <c r="M152" t="s">
        <v>68</v>
      </c>
      <c r="N152" t="str">
        <f t="shared" si="20"/>
        <v>ALT</v>
      </c>
      <c r="O152" t="s">
        <v>99</v>
      </c>
      <c r="P152" t="s">
        <v>83</v>
      </c>
      <c r="Q152">
        <v>2017</v>
      </c>
      <c r="R152" s="4">
        <v>42786</v>
      </c>
      <c r="S152" s="2">
        <v>42787</v>
      </c>
      <c r="T152" s="2">
        <v>42787</v>
      </c>
      <c r="U152" s="4">
        <v>42847</v>
      </c>
      <c r="V152" t="s">
        <v>71</v>
      </c>
      <c r="W152" t="str">
        <f>"                0220"</f>
        <v xml:space="preserve">                0220</v>
      </c>
      <c r="X152">
        <v>0</v>
      </c>
      <c r="Y152" s="1">
        <v>24332.44</v>
      </c>
      <c r="Z152" s="5">
        <v>24332.44</v>
      </c>
      <c r="AA152" s="3">
        <v>-60</v>
      </c>
      <c r="AB152" s="5">
        <v>-1459946.4</v>
      </c>
      <c r="AC152" s="1">
        <v>24332.44</v>
      </c>
      <c r="AD152">
        <v>-60</v>
      </c>
      <c r="AE152" s="1">
        <v>-1459946.4</v>
      </c>
      <c r="AF152">
        <v>0</v>
      </c>
      <c r="AJ152" s="1">
        <v>24332.44</v>
      </c>
      <c r="AK152" s="1">
        <v>24332.44</v>
      </c>
      <c r="AL152" s="1">
        <v>24332.44</v>
      </c>
      <c r="AM152" s="1">
        <v>24332.44</v>
      </c>
      <c r="AN152" s="1">
        <v>24332.44</v>
      </c>
      <c r="AO152" s="1">
        <v>24332.44</v>
      </c>
      <c r="AP152" s="2">
        <v>42831</v>
      </c>
      <c r="AQ152" t="s">
        <v>72</v>
      </c>
      <c r="AR152" t="s">
        <v>72</v>
      </c>
      <c r="AS152">
        <v>573</v>
      </c>
      <c r="AT152" s="4">
        <v>42787</v>
      </c>
      <c r="AV152">
        <v>573</v>
      </c>
      <c r="AW152" s="4">
        <v>42787</v>
      </c>
      <c r="BD152">
        <v>0</v>
      </c>
      <c r="BN152" t="s">
        <v>74</v>
      </c>
    </row>
    <row r="153" spans="1:66" hidden="1">
      <c r="A153">
        <v>100116</v>
      </c>
      <c r="B153" t="s">
        <v>104</v>
      </c>
      <c r="C153" s="1">
        <v>43500101</v>
      </c>
      <c r="D153" t="s">
        <v>98</v>
      </c>
      <c r="H153" t="str">
        <f t="shared" si="19"/>
        <v>97095380586</v>
      </c>
      <c r="I153" t="str">
        <f t="shared" si="19"/>
        <v>97095380586</v>
      </c>
      <c r="K153" t="str">
        <f>""</f>
        <v/>
      </c>
      <c r="M153" t="s">
        <v>68</v>
      </c>
      <c r="N153" t="str">
        <f t="shared" si="20"/>
        <v>ALT</v>
      </c>
      <c r="O153" t="s">
        <v>99</v>
      </c>
      <c r="P153" t="s">
        <v>84</v>
      </c>
      <c r="Q153">
        <v>2017</v>
      </c>
      <c r="R153" s="4">
        <v>42815</v>
      </c>
      <c r="S153" s="2">
        <v>42815</v>
      </c>
      <c r="T153" s="2">
        <v>42815</v>
      </c>
      <c r="U153" s="4">
        <v>42875</v>
      </c>
      <c r="V153" t="s">
        <v>71</v>
      </c>
      <c r="W153" t="str">
        <f>"                0321"</f>
        <v xml:space="preserve">                0321</v>
      </c>
      <c r="X153">
        <v>0</v>
      </c>
      <c r="Y153" s="1">
        <v>24037.56</v>
      </c>
      <c r="Z153" s="5">
        <v>24037.56</v>
      </c>
      <c r="AA153" s="3">
        <v>-60</v>
      </c>
      <c r="AB153" s="5">
        <v>-1442253.6</v>
      </c>
      <c r="AC153" s="1">
        <v>24037.56</v>
      </c>
      <c r="AD153">
        <v>-60</v>
      </c>
      <c r="AE153" s="1">
        <v>-1442253.6</v>
      </c>
      <c r="AF153">
        <v>0</v>
      </c>
      <c r="AJ153" s="1">
        <v>24037.56</v>
      </c>
      <c r="AK153" s="1">
        <v>24037.56</v>
      </c>
      <c r="AL153" s="1">
        <v>24037.56</v>
      </c>
      <c r="AM153" s="1">
        <v>24037.56</v>
      </c>
      <c r="AN153" s="1">
        <v>24037.56</v>
      </c>
      <c r="AO153" s="1">
        <v>24037.56</v>
      </c>
      <c r="AP153" s="2">
        <v>42831</v>
      </c>
      <c r="AQ153" t="s">
        <v>72</v>
      </c>
      <c r="AR153" t="s">
        <v>72</v>
      </c>
      <c r="AS153">
        <v>871</v>
      </c>
      <c r="AT153" s="4">
        <v>42815</v>
      </c>
      <c r="AV153">
        <v>871</v>
      </c>
      <c r="AW153" s="4">
        <v>42815</v>
      </c>
      <c r="BD153">
        <v>0</v>
      </c>
      <c r="BN153" t="s">
        <v>74</v>
      </c>
    </row>
    <row r="154" spans="1:66" hidden="1">
      <c r="A154">
        <v>100117</v>
      </c>
      <c r="B154" t="s">
        <v>105</v>
      </c>
      <c r="C154" s="1">
        <v>43500101</v>
      </c>
      <c r="D154" t="s">
        <v>98</v>
      </c>
      <c r="H154" t="str">
        <f t="shared" si="19"/>
        <v>97095380586</v>
      </c>
      <c r="I154" t="str">
        <f t="shared" si="19"/>
        <v>97095380586</v>
      </c>
      <c r="K154" t="str">
        <f>""</f>
        <v/>
      </c>
      <c r="M154" t="s">
        <v>68</v>
      </c>
      <c r="N154" t="str">
        <f t="shared" si="20"/>
        <v>ALT</v>
      </c>
      <c r="O154" t="s">
        <v>99</v>
      </c>
      <c r="P154" t="s">
        <v>82</v>
      </c>
      <c r="Q154">
        <v>2017</v>
      </c>
      <c r="R154" s="4">
        <v>42755</v>
      </c>
      <c r="S154" s="2">
        <v>42755</v>
      </c>
      <c r="T154" s="2">
        <v>42755</v>
      </c>
      <c r="U154" s="4">
        <v>42815</v>
      </c>
      <c r="V154" t="s">
        <v>71</v>
      </c>
      <c r="W154" t="str">
        <f>"                0120"</f>
        <v xml:space="preserve">                0120</v>
      </c>
      <c r="X154">
        <v>0</v>
      </c>
      <c r="Y154" s="1">
        <v>13666.33</v>
      </c>
      <c r="Z154" s="5">
        <v>13666.33</v>
      </c>
      <c r="AA154" s="3">
        <v>-57</v>
      </c>
      <c r="AB154" s="5">
        <v>-778980.81</v>
      </c>
      <c r="AC154" s="1">
        <v>13666.33</v>
      </c>
      <c r="AD154">
        <v>-57</v>
      </c>
      <c r="AE154" s="1">
        <v>-778980.81</v>
      </c>
      <c r="AF154">
        <v>0</v>
      </c>
      <c r="AJ154" s="1">
        <v>13666.33</v>
      </c>
      <c r="AK154" s="1">
        <v>13666.33</v>
      </c>
      <c r="AL154" s="1">
        <v>13666.33</v>
      </c>
      <c r="AM154" s="1">
        <v>13666.33</v>
      </c>
      <c r="AN154" s="1">
        <v>13666.33</v>
      </c>
      <c r="AO154" s="1">
        <v>13666.33</v>
      </c>
      <c r="AP154" s="2">
        <v>42831</v>
      </c>
      <c r="AQ154" t="s">
        <v>72</v>
      </c>
      <c r="AR154" t="s">
        <v>72</v>
      </c>
      <c r="AS154">
        <v>94</v>
      </c>
      <c r="AT154" s="4">
        <v>42758</v>
      </c>
      <c r="AV154">
        <v>94</v>
      </c>
      <c r="AW154" s="4">
        <v>42758</v>
      </c>
      <c r="BD154">
        <v>0</v>
      </c>
      <c r="BN154" t="s">
        <v>74</v>
      </c>
    </row>
    <row r="155" spans="1:66" hidden="1">
      <c r="A155">
        <v>100117</v>
      </c>
      <c r="B155" t="s">
        <v>105</v>
      </c>
      <c r="C155" s="1">
        <v>43500101</v>
      </c>
      <c r="D155" t="s">
        <v>98</v>
      </c>
      <c r="H155" t="str">
        <f t="shared" si="19"/>
        <v>97095380586</v>
      </c>
      <c r="I155" t="str">
        <f t="shared" si="19"/>
        <v>97095380586</v>
      </c>
      <c r="K155" t="str">
        <f>""</f>
        <v/>
      </c>
      <c r="M155" t="s">
        <v>68</v>
      </c>
      <c r="N155" t="str">
        <f t="shared" si="20"/>
        <v>ALT</v>
      </c>
      <c r="O155" t="s">
        <v>99</v>
      </c>
      <c r="P155" t="s">
        <v>83</v>
      </c>
      <c r="Q155">
        <v>2017</v>
      </c>
      <c r="R155" s="4">
        <v>42786</v>
      </c>
      <c r="S155" s="2">
        <v>42787</v>
      </c>
      <c r="T155" s="2">
        <v>42787</v>
      </c>
      <c r="U155" s="4">
        <v>42847</v>
      </c>
      <c r="V155" t="s">
        <v>71</v>
      </c>
      <c r="W155" t="str">
        <f>"                0220"</f>
        <v xml:space="preserve">                0220</v>
      </c>
      <c r="X155">
        <v>0</v>
      </c>
      <c r="Y155" s="1">
        <v>12788.1</v>
      </c>
      <c r="Z155" s="5">
        <v>12788.1</v>
      </c>
      <c r="AA155" s="3">
        <v>-60</v>
      </c>
      <c r="AB155" s="5">
        <v>-767286</v>
      </c>
      <c r="AC155" s="1">
        <v>12788.1</v>
      </c>
      <c r="AD155">
        <v>-60</v>
      </c>
      <c r="AE155" s="1">
        <v>-767286</v>
      </c>
      <c r="AF155">
        <v>0</v>
      </c>
      <c r="AJ155" s="1">
        <v>12788.1</v>
      </c>
      <c r="AK155" s="1">
        <v>12788.1</v>
      </c>
      <c r="AL155" s="1">
        <v>12788.1</v>
      </c>
      <c r="AM155" s="1">
        <v>12788.1</v>
      </c>
      <c r="AN155" s="1">
        <v>12788.1</v>
      </c>
      <c r="AO155" s="1">
        <v>12788.1</v>
      </c>
      <c r="AP155" s="2">
        <v>42831</v>
      </c>
      <c r="AQ155" t="s">
        <v>72</v>
      </c>
      <c r="AR155" t="s">
        <v>72</v>
      </c>
      <c r="AS155">
        <v>574</v>
      </c>
      <c r="AT155" s="4">
        <v>42787</v>
      </c>
      <c r="AV155">
        <v>574</v>
      </c>
      <c r="AW155" s="4">
        <v>42787</v>
      </c>
      <c r="BD155">
        <v>0</v>
      </c>
      <c r="BN155" t="s">
        <v>74</v>
      </c>
    </row>
    <row r="156" spans="1:66" hidden="1">
      <c r="A156">
        <v>100117</v>
      </c>
      <c r="B156" t="s">
        <v>105</v>
      </c>
      <c r="C156" s="1">
        <v>43500101</v>
      </c>
      <c r="D156" t="s">
        <v>98</v>
      </c>
      <c r="H156" t="str">
        <f t="shared" si="19"/>
        <v>97095380586</v>
      </c>
      <c r="I156" t="str">
        <f t="shared" si="19"/>
        <v>97095380586</v>
      </c>
      <c r="K156" t="str">
        <f>""</f>
        <v/>
      </c>
      <c r="M156" t="s">
        <v>68</v>
      </c>
      <c r="N156" t="str">
        <f t="shared" si="20"/>
        <v>ALT</v>
      </c>
      <c r="O156" t="s">
        <v>99</v>
      </c>
      <c r="P156" t="s">
        <v>84</v>
      </c>
      <c r="Q156">
        <v>2017</v>
      </c>
      <c r="R156" s="4">
        <v>42815</v>
      </c>
      <c r="S156" s="2">
        <v>42815</v>
      </c>
      <c r="T156" s="2">
        <v>42815</v>
      </c>
      <c r="U156" s="4">
        <v>42875</v>
      </c>
      <c r="V156" t="s">
        <v>71</v>
      </c>
      <c r="W156" t="str">
        <f>"                0321"</f>
        <v xml:space="preserve">                0321</v>
      </c>
      <c r="X156">
        <v>0</v>
      </c>
      <c r="Y156" s="1">
        <v>13286.5</v>
      </c>
      <c r="Z156" s="5">
        <v>13286.5</v>
      </c>
      <c r="AA156" s="3">
        <v>-60</v>
      </c>
      <c r="AB156" s="5">
        <v>-797190</v>
      </c>
      <c r="AC156" s="1">
        <v>13286.5</v>
      </c>
      <c r="AD156">
        <v>-60</v>
      </c>
      <c r="AE156" s="1">
        <v>-797190</v>
      </c>
      <c r="AF156">
        <v>0</v>
      </c>
      <c r="AJ156" s="1">
        <v>13286.5</v>
      </c>
      <c r="AK156" s="1">
        <v>13286.5</v>
      </c>
      <c r="AL156" s="1">
        <v>13286.5</v>
      </c>
      <c r="AM156" s="1">
        <v>13286.5</v>
      </c>
      <c r="AN156" s="1">
        <v>13286.5</v>
      </c>
      <c r="AO156" s="1">
        <v>13286.5</v>
      </c>
      <c r="AP156" s="2">
        <v>42831</v>
      </c>
      <c r="AQ156" t="s">
        <v>72</v>
      </c>
      <c r="AR156" t="s">
        <v>72</v>
      </c>
      <c r="AS156">
        <v>872</v>
      </c>
      <c r="AT156" s="4">
        <v>42815</v>
      </c>
      <c r="AV156">
        <v>872</v>
      </c>
      <c r="AW156" s="4">
        <v>42815</v>
      </c>
      <c r="BD156">
        <v>0</v>
      </c>
      <c r="BN156" t="s">
        <v>74</v>
      </c>
    </row>
    <row r="157" spans="1:66" hidden="1">
      <c r="A157">
        <v>100118</v>
      </c>
      <c r="B157" t="s">
        <v>106</v>
      </c>
      <c r="C157" s="1">
        <v>43500101</v>
      </c>
      <c r="D157" t="s">
        <v>98</v>
      </c>
      <c r="H157" t="str">
        <f t="shared" si="19"/>
        <v>97095380586</v>
      </c>
      <c r="I157" t="str">
        <f t="shared" si="19"/>
        <v>97095380586</v>
      </c>
      <c r="K157" t="str">
        <f>""</f>
        <v/>
      </c>
      <c r="M157" t="s">
        <v>68</v>
      </c>
      <c r="N157" t="str">
        <f t="shared" si="20"/>
        <v>ALT</v>
      </c>
      <c r="O157" t="s">
        <v>99</v>
      </c>
      <c r="P157" t="s">
        <v>82</v>
      </c>
      <c r="Q157">
        <v>2017</v>
      </c>
      <c r="R157" s="4">
        <v>42755</v>
      </c>
      <c r="S157" s="2">
        <v>42755</v>
      </c>
      <c r="T157" s="2">
        <v>42755</v>
      </c>
      <c r="U157" s="4">
        <v>42815</v>
      </c>
      <c r="V157" t="s">
        <v>71</v>
      </c>
      <c r="W157" t="str">
        <f>"                0120"</f>
        <v xml:space="preserve">                0120</v>
      </c>
      <c r="X157">
        <v>0</v>
      </c>
      <c r="Y157" s="1">
        <v>5034.7299999999996</v>
      </c>
      <c r="Z157" s="5">
        <v>5034.7299999999996</v>
      </c>
      <c r="AA157" s="3">
        <v>-57</v>
      </c>
      <c r="AB157" s="5">
        <v>-286979.61</v>
      </c>
      <c r="AC157" s="1">
        <v>5034.7299999999996</v>
      </c>
      <c r="AD157">
        <v>-57</v>
      </c>
      <c r="AE157" s="1">
        <v>-286979.61</v>
      </c>
      <c r="AF157">
        <v>0</v>
      </c>
      <c r="AJ157" s="1">
        <v>5034.7299999999996</v>
      </c>
      <c r="AK157" s="1">
        <v>5034.7299999999996</v>
      </c>
      <c r="AL157" s="1">
        <v>5034.7299999999996</v>
      </c>
      <c r="AM157" s="1">
        <v>5034.7299999999996</v>
      </c>
      <c r="AN157" s="1">
        <v>5034.7299999999996</v>
      </c>
      <c r="AO157" s="1">
        <v>5034.7299999999996</v>
      </c>
      <c r="AP157" s="2">
        <v>42831</v>
      </c>
      <c r="AQ157" t="s">
        <v>72</v>
      </c>
      <c r="AR157" t="s">
        <v>72</v>
      </c>
      <c r="AS157">
        <v>95</v>
      </c>
      <c r="AT157" s="4">
        <v>42758</v>
      </c>
      <c r="AV157">
        <v>95</v>
      </c>
      <c r="AW157" s="4">
        <v>42758</v>
      </c>
      <c r="BD157">
        <v>0</v>
      </c>
      <c r="BN157" t="s">
        <v>74</v>
      </c>
    </row>
    <row r="158" spans="1:66" hidden="1">
      <c r="A158">
        <v>100118</v>
      </c>
      <c r="B158" t="s">
        <v>106</v>
      </c>
      <c r="C158" s="1">
        <v>43500101</v>
      </c>
      <c r="D158" t="s">
        <v>98</v>
      </c>
      <c r="H158" t="str">
        <f t="shared" si="19"/>
        <v>97095380586</v>
      </c>
      <c r="I158" t="str">
        <f t="shared" si="19"/>
        <v>97095380586</v>
      </c>
      <c r="K158" t="str">
        <f>""</f>
        <v/>
      </c>
      <c r="M158" t="s">
        <v>68</v>
      </c>
      <c r="N158" t="str">
        <f t="shared" si="20"/>
        <v>ALT</v>
      </c>
      <c r="O158" t="s">
        <v>99</v>
      </c>
      <c r="P158" t="s">
        <v>83</v>
      </c>
      <c r="Q158">
        <v>2017</v>
      </c>
      <c r="R158" s="4">
        <v>42786</v>
      </c>
      <c r="S158" s="2">
        <v>42787</v>
      </c>
      <c r="T158" s="2">
        <v>42787</v>
      </c>
      <c r="U158" s="4">
        <v>42847</v>
      </c>
      <c r="V158" t="s">
        <v>71</v>
      </c>
      <c r="W158" t="str">
        <f>"                0220"</f>
        <v xml:space="preserve">                0220</v>
      </c>
      <c r="X158">
        <v>0</v>
      </c>
      <c r="Y158" s="1">
        <v>5487.83</v>
      </c>
      <c r="Z158" s="5">
        <v>5487.83</v>
      </c>
      <c r="AA158" s="3">
        <v>-60</v>
      </c>
      <c r="AB158" s="5">
        <v>-329269.8</v>
      </c>
      <c r="AC158" s="1">
        <v>5487.83</v>
      </c>
      <c r="AD158">
        <v>-60</v>
      </c>
      <c r="AE158" s="1">
        <v>-329269.8</v>
      </c>
      <c r="AF158">
        <v>0</v>
      </c>
      <c r="AJ158" s="1">
        <v>5487.83</v>
      </c>
      <c r="AK158" s="1">
        <v>5487.83</v>
      </c>
      <c r="AL158" s="1">
        <v>5487.83</v>
      </c>
      <c r="AM158" s="1">
        <v>5487.83</v>
      </c>
      <c r="AN158" s="1">
        <v>5487.83</v>
      </c>
      <c r="AO158" s="1">
        <v>5487.83</v>
      </c>
      <c r="AP158" s="2">
        <v>42831</v>
      </c>
      <c r="AQ158" t="s">
        <v>72</v>
      </c>
      <c r="AR158" t="s">
        <v>72</v>
      </c>
      <c r="AS158">
        <v>575</v>
      </c>
      <c r="AT158" s="4">
        <v>42787</v>
      </c>
      <c r="AV158">
        <v>575</v>
      </c>
      <c r="AW158" s="4">
        <v>42787</v>
      </c>
      <c r="BD158">
        <v>0</v>
      </c>
      <c r="BN158" t="s">
        <v>74</v>
      </c>
    </row>
    <row r="159" spans="1:66" hidden="1">
      <c r="A159">
        <v>100118</v>
      </c>
      <c r="B159" t="s">
        <v>106</v>
      </c>
      <c r="C159" s="1">
        <v>43500101</v>
      </c>
      <c r="D159" t="s">
        <v>98</v>
      </c>
      <c r="H159" t="str">
        <f t="shared" si="19"/>
        <v>97095380586</v>
      </c>
      <c r="I159" t="str">
        <f t="shared" si="19"/>
        <v>97095380586</v>
      </c>
      <c r="K159" t="str">
        <f>""</f>
        <v/>
      </c>
      <c r="M159" t="s">
        <v>68</v>
      </c>
      <c r="N159" t="str">
        <f t="shared" si="20"/>
        <v>ALT</v>
      </c>
      <c r="O159" t="s">
        <v>99</v>
      </c>
      <c r="P159" t="s">
        <v>84</v>
      </c>
      <c r="Q159">
        <v>2017</v>
      </c>
      <c r="R159" s="4">
        <v>42815</v>
      </c>
      <c r="S159" s="2">
        <v>42815</v>
      </c>
      <c r="T159" s="2">
        <v>42815</v>
      </c>
      <c r="U159" s="4">
        <v>42875</v>
      </c>
      <c r="V159" t="s">
        <v>71</v>
      </c>
      <c r="W159" t="str">
        <f>"                0321"</f>
        <v xml:space="preserve">                0321</v>
      </c>
      <c r="X159">
        <v>0</v>
      </c>
      <c r="Y159" s="1">
        <v>5487.83</v>
      </c>
      <c r="Z159" s="5">
        <v>5487.83</v>
      </c>
      <c r="AA159" s="3">
        <v>-60</v>
      </c>
      <c r="AB159" s="5">
        <v>-329269.8</v>
      </c>
      <c r="AC159" s="1">
        <v>5487.83</v>
      </c>
      <c r="AD159">
        <v>-60</v>
      </c>
      <c r="AE159" s="1">
        <v>-329269.8</v>
      </c>
      <c r="AF159">
        <v>0</v>
      </c>
      <c r="AJ159" s="1">
        <v>5487.83</v>
      </c>
      <c r="AK159" s="1">
        <v>5487.83</v>
      </c>
      <c r="AL159" s="1">
        <v>5487.83</v>
      </c>
      <c r="AM159" s="1">
        <v>5487.83</v>
      </c>
      <c r="AN159" s="1">
        <v>5487.83</v>
      </c>
      <c r="AO159" s="1">
        <v>5487.83</v>
      </c>
      <c r="AP159" s="2">
        <v>42831</v>
      </c>
      <c r="AQ159" t="s">
        <v>72</v>
      </c>
      <c r="AR159" t="s">
        <v>72</v>
      </c>
      <c r="AS159">
        <v>873</v>
      </c>
      <c r="AT159" s="4">
        <v>42815</v>
      </c>
      <c r="AV159">
        <v>873</v>
      </c>
      <c r="AW159" s="4">
        <v>42815</v>
      </c>
      <c r="BD159">
        <v>0</v>
      </c>
      <c r="BN159" t="s">
        <v>74</v>
      </c>
    </row>
    <row r="160" spans="1:66" hidden="1">
      <c r="A160">
        <v>100120</v>
      </c>
      <c r="B160" t="s">
        <v>107</v>
      </c>
      <c r="C160" s="1">
        <v>43300101</v>
      </c>
      <c r="D160" t="s">
        <v>67</v>
      </c>
      <c r="H160" t="str">
        <f>"MNCNNT62H53A783K"</f>
        <v>MNCNNT62H53A783K</v>
      </c>
      <c r="I160" t="str">
        <f>""</f>
        <v/>
      </c>
      <c r="K160" t="str">
        <f>""</f>
        <v/>
      </c>
      <c r="M160" t="s">
        <v>68</v>
      </c>
      <c r="N160" t="str">
        <f>"FOR"</f>
        <v>FOR</v>
      </c>
      <c r="O160" t="s">
        <v>69</v>
      </c>
      <c r="P160" t="s">
        <v>82</v>
      </c>
      <c r="Q160">
        <v>2017</v>
      </c>
      <c r="R160" s="4">
        <v>42755</v>
      </c>
      <c r="S160" s="2">
        <v>42755</v>
      </c>
      <c r="T160" s="2">
        <v>42755</v>
      </c>
      <c r="U160" s="4">
        <v>42815</v>
      </c>
      <c r="V160" t="s">
        <v>71</v>
      </c>
      <c r="W160" t="str">
        <f>"                0120"</f>
        <v xml:space="preserve">                0120</v>
      </c>
      <c r="X160">
        <v>0</v>
      </c>
      <c r="Y160">
        <v>350</v>
      </c>
      <c r="Z160" s="3">
        <v>350</v>
      </c>
      <c r="AA160" s="3">
        <v>-57</v>
      </c>
      <c r="AB160" s="5">
        <v>-19950</v>
      </c>
      <c r="AC160">
        <v>350</v>
      </c>
      <c r="AD160">
        <v>-57</v>
      </c>
      <c r="AE160" s="1">
        <v>-19950</v>
      </c>
      <c r="AF160">
        <v>0</v>
      </c>
      <c r="AJ160">
        <v>350</v>
      </c>
      <c r="AK160">
        <v>350</v>
      </c>
      <c r="AL160">
        <v>350</v>
      </c>
      <c r="AM160">
        <v>350</v>
      </c>
      <c r="AN160">
        <v>350</v>
      </c>
      <c r="AO160">
        <v>350</v>
      </c>
      <c r="AP160" s="2">
        <v>42831</v>
      </c>
      <c r="AQ160" t="s">
        <v>72</v>
      </c>
      <c r="AR160" t="s">
        <v>72</v>
      </c>
      <c r="AS160">
        <v>25</v>
      </c>
      <c r="AT160" s="4">
        <v>42758</v>
      </c>
      <c r="AV160">
        <v>25</v>
      </c>
      <c r="AW160" s="4">
        <v>42758</v>
      </c>
      <c r="BD160">
        <v>0</v>
      </c>
      <c r="BN160" t="s">
        <v>74</v>
      </c>
    </row>
    <row r="161" spans="1:66" hidden="1">
      <c r="A161">
        <v>100120</v>
      </c>
      <c r="B161" t="s">
        <v>107</v>
      </c>
      <c r="C161" s="1">
        <v>43300101</v>
      </c>
      <c r="D161" t="s">
        <v>67</v>
      </c>
      <c r="H161" t="str">
        <f>"MNCNNT62H53A783K"</f>
        <v>MNCNNT62H53A783K</v>
      </c>
      <c r="I161" t="str">
        <f>""</f>
        <v/>
      </c>
      <c r="K161" t="str">
        <f>""</f>
        <v/>
      </c>
      <c r="M161" t="s">
        <v>68</v>
      </c>
      <c r="N161" t="str">
        <f>"FOR"</f>
        <v>FOR</v>
      </c>
      <c r="O161" t="s">
        <v>69</v>
      </c>
      <c r="P161" t="s">
        <v>83</v>
      </c>
      <c r="Q161">
        <v>2017</v>
      </c>
      <c r="R161" s="4">
        <v>42786</v>
      </c>
      <c r="S161" s="2">
        <v>42787</v>
      </c>
      <c r="T161" s="2">
        <v>42787</v>
      </c>
      <c r="U161" s="4">
        <v>42847</v>
      </c>
      <c r="V161" t="s">
        <v>71</v>
      </c>
      <c r="W161" t="str">
        <f>"                0220"</f>
        <v xml:space="preserve">                0220</v>
      </c>
      <c r="X161">
        <v>0</v>
      </c>
      <c r="Y161">
        <v>350</v>
      </c>
      <c r="Z161" s="3">
        <v>350</v>
      </c>
      <c r="AA161" s="3">
        <v>-60</v>
      </c>
      <c r="AB161" s="5">
        <v>-21000</v>
      </c>
      <c r="AC161">
        <v>350</v>
      </c>
      <c r="AD161">
        <v>-60</v>
      </c>
      <c r="AE161" s="1">
        <v>-21000</v>
      </c>
      <c r="AF161">
        <v>0</v>
      </c>
      <c r="AJ161">
        <v>350</v>
      </c>
      <c r="AK161">
        <v>350</v>
      </c>
      <c r="AL161">
        <v>350</v>
      </c>
      <c r="AM161">
        <v>350</v>
      </c>
      <c r="AN161">
        <v>350</v>
      </c>
      <c r="AO161">
        <v>350</v>
      </c>
      <c r="AP161" s="2">
        <v>42831</v>
      </c>
      <c r="AQ161" t="s">
        <v>72</v>
      </c>
      <c r="AR161" t="s">
        <v>72</v>
      </c>
      <c r="AS161">
        <v>505</v>
      </c>
      <c r="AT161" s="4">
        <v>42787</v>
      </c>
      <c r="AV161">
        <v>505</v>
      </c>
      <c r="AW161" s="4">
        <v>42787</v>
      </c>
      <c r="BD161">
        <v>0</v>
      </c>
      <c r="BN161" t="s">
        <v>74</v>
      </c>
    </row>
    <row r="162" spans="1:66" hidden="1">
      <c r="A162">
        <v>100120</v>
      </c>
      <c r="B162" t="s">
        <v>107</v>
      </c>
      <c r="C162" s="1">
        <v>43300101</v>
      </c>
      <c r="D162" t="s">
        <v>67</v>
      </c>
      <c r="H162" t="str">
        <f>"MNCNNT62H53A783K"</f>
        <v>MNCNNT62H53A783K</v>
      </c>
      <c r="I162" t="str">
        <f>""</f>
        <v/>
      </c>
      <c r="K162" t="str">
        <f>""</f>
        <v/>
      </c>
      <c r="M162" t="s">
        <v>68</v>
      </c>
      <c r="N162" t="str">
        <f>"FOR"</f>
        <v>FOR</v>
      </c>
      <c r="O162" t="s">
        <v>69</v>
      </c>
      <c r="P162" t="s">
        <v>84</v>
      </c>
      <c r="Q162">
        <v>2017</v>
      </c>
      <c r="R162" s="4">
        <v>42815</v>
      </c>
      <c r="S162" s="2">
        <v>42815</v>
      </c>
      <c r="T162" s="2">
        <v>42815</v>
      </c>
      <c r="U162" s="4">
        <v>42875</v>
      </c>
      <c r="V162" t="s">
        <v>71</v>
      </c>
      <c r="W162" t="str">
        <f>"                0321"</f>
        <v xml:space="preserve">                0321</v>
      </c>
      <c r="X162">
        <v>0</v>
      </c>
      <c r="Y162">
        <v>350</v>
      </c>
      <c r="Z162" s="3">
        <v>350</v>
      </c>
      <c r="AA162" s="3">
        <v>-60</v>
      </c>
      <c r="AB162" s="5">
        <v>-21000</v>
      </c>
      <c r="AC162">
        <v>350</v>
      </c>
      <c r="AD162">
        <v>-60</v>
      </c>
      <c r="AE162" s="1">
        <v>-21000</v>
      </c>
      <c r="AF162">
        <v>0</v>
      </c>
      <c r="AJ162">
        <v>350</v>
      </c>
      <c r="AK162">
        <v>350</v>
      </c>
      <c r="AL162">
        <v>350</v>
      </c>
      <c r="AM162">
        <v>350</v>
      </c>
      <c r="AN162">
        <v>350</v>
      </c>
      <c r="AO162">
        <v>350</v>
      </c>
      <c r="AP162" s="2">
        <v>42831</v>
      </c>
      <c r="AQ162" t="s">
        <v>72</v>
      </c>
      <c r="AR162" t="s">
        <v>72</v>
      </c>
      <c r="AS162">
        <v>802</v>
      </c>
      <c r="AT162" s="4">
        <v>42815</v>
      </c>
      <c r="AV162">
        <v>802</v>
      </c>
      <c r="AW162" s="4">
        <v>42815</v>
      </c>
      <c r="BD162">
        <v>0</v>
      </c>
      <c r="BN162" t="s">
        <v>74</v>
      </c>
    </row>
    <row r="163" spans="1:66" hidden="1">
      <c r="A163">
        <v>100124</v>
      </c>
      <c r="B163" t="s">
        <v>108</v>
      </c>
      <c r="C163" s="1">
        <v>43500101</v>
      </c>
      <c r="D163" t="s">
        <v>98</v>
      </c>
      <c r="H163" t="str">
        <f t="shared" ref="H163:I165" si="21">"02848590754"</f>
        <v>02848590754</v>
      </c>
      <c r="I163" t="str">
        <f t="shared" si="21"/>
        <v>02848590754</v>
      </c>
      <c r="K163" t="str">
        <f>""</f>
        <v/>
      </c>
      <c r="M163" t="s">
        <v>68</v>
      </c>
      <c r="N163" t="str">
        <f>"ALTFIN"</f>
        <v>ALTFIN</v>
      </c>
      <c r="O163" t="s">
        <v>102</v>
      </c>
      <c r="P163" t="s">
        <v>82</v>
      </c>
      <c r="Q163">
        <v>2017</v>
      </c>
      <c r="R163" s="4">
        <v>42755</v>
      </c>
      <c r="S163" s="2">
        <v>42755</v>
      </c>
      <c r="T163" s="2">
        <v>42755</v>
      </c>
      <c r="U163" s="4">
        <v>42815</v>
      </c>
      <c r="V163" t="s">
        <v>71</v>
      </c>
      <c r="W163" t="str">
        <f>"                0120"</f>
        <v xml:space="preserve">                0120</v>
      </c>
      <c r="X163">
        <v>0</v>
      </c>
      <c r="Y163" s="1">
        <v>34693.480000000003</v>
      </c>
      <c r="Z163" s="5">
        <v>34693.480000000003</v>
      </c>
      <c r="AA163" s="3">
        <v>-57</v>
      </c>
      <c r="AB163" s="5">
        <v>-1977528.36</v>
      </c>
      <c r="AC163" s="1">
        <v>34693.480000000003</v>
      </c>
      <c r="AD163">
        <v>-57</v>
      </c>
      <c r="AE163" s="1">
        <v>-1977528.36</v>
      </c>
      <c r="AF163">
        <v>0</v>
      </c>
      <c r="AJ163" s="1">
        <v>34693.480000000003</v>
      </c>
      <c r="AK163" s="1">
        <v>34693.480000000003</v>
      </c>
      <c r="AL163" s="1">
        <v>34693.480000000003</v>
      </c>
      <c r="AM163" s="1">
        <v>34693.480000000003</v>
      </c>
      <c r="AN163" s="1">
        <v>34693.480000000003</v>
      </c>
      <c r="AO163" s="1">
        <v>34693.480000000003</v>
      </c>
      <c r="AP163" s="2">
        <v>42831</v>
      </c>
      <c r="AQ163" t="s">
        <v>72</v>
      </c>
      <c r="AR163" t="s">
        <v>72</v>
      </c>
      <c r="AS163">
        <v>26</v>
      </c>
      <c r="AT163" s="4">
        <v>42758</v>
      </c>
      <c r="AV163">
        <v>26</v>
      </c>
      <c r="AW163" s="4">
        <v>42758</v>
      </c>
      <c r="BD163">
        <v>0</v>
      </c>
      <c r="BN163" t="s">
        <v>74</v>
      </c>
    </row>
    <row r="164" spans="1:66" hidden="1">
      <c r="A164">
        <v>100124</v>
      </c>
      <c r="B164" t="s">
        <v>108</v>
      </c>
      <c r="C164" s="1">
        <v>43500101</v>
      </c>
      <c r="D164" t="s">
        <v>98</v>
      </c>
      <c r="H164" t="str">
        <f t="shared" si="21"/>
        <v>02848590754</v>
      </c>
      <c r="I164" t="str">
        <f t="shared" si="21"/>
        <v>02848590754</v>
      </c>
      <c r="K164" t="str">
        <f>""</f>
        <v/>
      </c>
      <c r="M164" t="s">
        <v>68</v>
      </c>
      <c r="N164" t="str">
        <f>"ALTFIN"</f>
        <v>ALTFIN</v>
      </c>
      <c r="O164" t="s">
        <v>102</v>
      </c>
      <c r="P164" t="s">
        <v>83</v>
      </c>
      <c r="Q164">
        <v>2017</v>
      </c>
      <c r="R164" s="4">
        <v>42786</v>
      </c>
      <c r="S164" s="2">
        <v>42787</v>
      </c>
      <c r="T164" s="2">
        <v>42787</v>
      </c>
      <c r="U164" s="4">
        <v>42847</v>
      </c>
      <c r="V164" t="s">
        <v>71</v>
      </c>
      <c r="W164" t="str">
        <f>"                0220"</f>
        <v xml:space="preserve">                0220</v>
      </c>
      <c r="X164">
        <v>0</v>
      </c>
      <c r="Y164" s="1">
        <v>35139.919999999998</v>
      </c>
      <c r="Z164" s="5">
        <v>35139.919999999998</v>
      </c>
      <c r="AA164" s="3">
        <v>-60</v>
      </c>
      <c r="AB164" s="5">
        <v>-2108395.2000000002</v>
      </c>
      <c r="AC164" s="1">
        <v>35139.919999999998</v>
      </c>
      <c r="AD164">
        <v>-60</v>
      </c>
      <c r="AE164" s="1">
        <v>-2108395.2000000002</v>
      </c>
      <c r="AF164">
        <v>0</v>
      </c>
      <c r="AJ164" s="1">
        <v>35139.919999999998</v>
      </c>
      <c r="AK164" s="1">
        <v>35139.919999999998</v>
      </c>
      <c r="AL164" s="1">
        <v>35139.919999999998</v>
      </c>
      <c r="AM164" s="1">
        <v>35139.919999999998</v>
      </c>
      <c r="AN164" s="1">
        <v>35139.919999999998</v>
      </c>
      <c r="AO164" s="1">
        <v>35139.919999999998</v>
      </c>
      <c r="AP164" s="2">
        <v>42831</v>
      </c>
      <c r="AQ164" t="s">
        <v>72</v>
      </c>
      <c r="AR164" t="s">
        <v>72</v>
      </c>
      <c r="AS164">
        <v>506</v>
      </c>
      <c r="AT164" s="4">
        <v>42787</v>
      </c>
      <c r="AV164">
        <v>506</v>
      </c>
      <c r="AW164" s="4">
        <v>42787</v>
      </c>
      <c r="BD164">
        <v>0</v>
      </c>
      <c r="BN164" t="s">
        <v>74</v>
      </c>
    </row>
    <row r="165" spans="1:66" hidden="1">
      <c r="A165">
        <v>100124</v>
      </c>
      <c r="B165" t="s">
        <v>108</v>
      </c>
      <c r="C165" s="1">
        <v>43500101</v>
      </c>
      <c r="D165" t="s">
        <v>98</v>
      </c>
      <c r="H165" t="str">
        <f t="shared" si="21"/>
        <v>02848590754</v>
      </c>
      <c r="I165" t="str">
        <f t="shared" si="21"/>
        <v>02848590754</v>
      </c>
      <c r="K165" t="str">
        <f>""</f>
        <v/>
      </c>
      <c r="M165" t="s">
        <v>68</v>
      </c>
      <c r="N165" t="str">
        <f>"ALTFIN"</f>
        <v>ALTFIN</v>
      </c>
      <c r="O165" t="s">
        <v>102</v>
      </c>
      <c r="P165" t="s">
        <v>84</v>
      </c>
      <c r="Q165">
        <v>2017</v>
      </c>
      <c r="R165" s="4">
        <v>42815</v>
      </c>
      <c r="S165" s="2">
        <v>42815</v>
      </c>
      <c r="T165" s="2">
        <v>42815</v>
      </c>
      <c r="U165" s="4">
        <v>42875</v>
      </c>
      <c r="V165" t="s">
        <v>71</v>
      </c>
      <c r="W165" t="str">
        <f>"                0321"</f>
        <v xml:space="preserve">                0321</v>
      </c>
      <c r="X165">
        <v>0</v>
      </c>
      <c r="Y165" s="1">
        <v>35191.089999999997</v>
      </c>
      <c r="Z165" s="5">
        <v>35191.089999999997</v>
      </c>
      <c r="AA165" s="3">
        <v>-60</v>
      </c>
      <c r="AB165" s="5">
        <v>-2111465.4</v>
      </c>
      <c r="AC165" s="1">
        <v>35191.089999999997</v>
      </c>
      <c r="AD165">
        <v>-60</v>
      </c>
      <c r="AE165" s="1">
        <v>-2111465.4</v>
      </c>
      <c r="AF165">
        <v>0</v>
      </c>
      <c r="AJ165" s="1">
        <v>35191.089999999997</v>
      </c>
      <c r="AK165" s="1">
        <v>35191.089999999997</v>
      </c>
      <c r="AL165" s="1">
        <v>35191.089999999997</v>
      </c>
      <c r="AM165" s="1">
        <v>35191.089999999997</v>
      </c>
      <c r="AN165" s="1">
        <v>35191.089999999997</v>
      </c>
      <c r="AO165" s="1">
        <v>35191.089999999997</v>
      </c>
      <c r="AP165" s="2">
        <v>42831</v>
      </c>
      <c r="AQ165" t="s">
        <v>72</v>
      </c>
      <c r="AR165" t="s">
        <v>72</v>
      </c>
      <c r="AS165">
        <v>803</v>
      </c>
      <c r="AT165" s="4">
        <v>42815</v>
      </c>
      <c r="AV165">
        <v>803</v>
      </c>
      <c r="AW165" s="4">
        <v>42815</v>
      </c>
      <c r="BD165">
        <v>0</v>
      </c>
      <c r="BN165" t="s">
        <v>74</v>
      </c>
    </row>
    <row r="166" spans="1:66">
      <c r="A166">
        <v>100161</v>
      </c>
      <c r="B166" t="s">
        <v>109</v>
      </c>
      <c r="C166" s="1">
        <v>43300101</v>
      </c>
      <c r="D166" t="s">
        <v>67</v>
      </c>
      <c r="H166" t="str">
        <f t="shared" ref="H166:I169" si="22">"00801720152"</f>
        <v>00801720152</v>
      </c>
      <c r="I166" t="str">
        <f t="shared" si="22"/>
        <v>00801720152</v>
      </c>
      <c r="K166" t="str">
        <f>""</f>
        <v/>
      </c>
      <c r="M166" t="s">
        <v>68</v>
      </c>
      <c r="N166" t="str">
        <f t="shared" ref="N166:N197" si="23">"FOR"</f>
        <v>FOR</v>
      </c>
      <c r="O166" t="s">
        <v>69</v>
      </c>
      <c r="P166" t="s">
        <v>75</v>
      </c>
      <c r="Q166">
        <v>2016</v>
      </c>
      <c r="R166" s="4">
        <v>42467</v>
      </c>
      <c r="S166" s="2">
        <v>42473</v>
      </c>
      <c r="T166" s="2">
        <v>42471</v>
      </c>
      <c r="U166" s="4">
        <v>42531</v>
      </c>
      <c r="V166" t="s">
        <v>71</v>
      </c>
      <c r="W166" t="str">
        <f>"        S01/21609950"</f>
        <v xml:space="preserve">        S01/21609950</v>
      </c>
      <c r="X166">
        <v>427</v>
      </c>
      <c r="Y166">
        <v>0</v>
      </c>
      <c r="Z166" s="5">
        <v>350</v>
      </c>
      <c r="AA166" s="3">
        <v>237</v>
      </c>
      <c r="AB166" s="5">
        <v>82950</v>
      </c>
      <c r="AC166">
        <v>350</v>
      </c>
      <c r="AD166">
        <v>237</v>
      </c>
      <c r="AE166" s="1">
        <v>82950</v>
      </c>
      <c r="AF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 s="2">
        <v>42831</v>
      </c>
      <c r="AQ166" t="s">
        <v>72</v>
      </c>
      <c r="AR166" t="s">
        <v>72</v>
      </c>
      <c r="AS166">
        <v>248</v>
      </c>
      <c r="AT166" s="4">
        <v>42768</v>
      </c>
      <c r="AU166" t="s">
        <v>73</v>
      </c>
      <c r="AV166">
        <v>248</v>
      </c>
      <c r="AW166" s="4">
        <v>42768</v>
      </c>
      <c r="BD166">
        <v>0</v>
      </c>
      <c r="BN166" t="s">
        <v>74</v>
      </c>
    </row>
    <row r="167" spans="1:66">
      <c r="A167">
        <v>100161</v>
      </c>
      <c r="B167" t="s">
        <v>109</v>
      </c>
      <c r="C167" s="1">
        <v>43300101</v>
      </c>
      <c r="D167" t="s">
        <v>67</v>
      </c>
      <c r="H167" t="str">
        <f t="shared" si="22"/>
        <v>00801720152</v>
      </c>
      <c r="I167" t="str">
        <f t="shared" si="22"/>
        <v>00801720152</v>
      </c>
      <c r="K167" t="str">
        <f>""</f>
        <v/>
      </c>
      <c r="M167" t="s">
        <v>68</v>
      </c>
      <c r="N167" t="str">
        <f t="shared" si="23"/>
        <v>FOR</v>
      </c>
      <c r="O167" t="s">
        <v>69</v>
      </c>
      <c r="P167" t="s">
        <v>75</v>
      </c>
      <c r="Q167">
        <v>2016</v>
      </c>
      <c r="R167" s="4">
        <v>42467</v>
      </c>
      <c r="S167" s="2">
        <v>42473</v>
      </c>
      <c r="T167" s="2">
        <v>42471</v>
      </c>
      <c r="U167" s="4">
        <v>42531</v>
      </c>
      <c r="V167" t="s">
        <v>71</v>
      </c>
      <c r="W167" t="str">
        <f>"        S01/21609951"</f>
        <v xml:space="preserve">        S01/21609951</v>
      </c>
      <c r="X167">
        <v>463.6</v>
      </c>
      <c r="Y167">
        <v>0</v>
      </c>
      <c r="Z167" s="5">
        <v>380</v>
      </c>
      <c r="AA167" s="3">
        <v>237</v>
      </c>
      <c r="AB167" s="5">
        <v>90060</v>
      </c>
      <c r="AC167">
        <v>380</v>
      </c>
      <c r="AD167">
        <v>237</v>
      </c>
      <c r="AE167" s="1">
        <v>90060</v>
      </c>
      <c r="AF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 s="2">
        <v>42831</v>
      </c>
      <c r="AQ167" t="s">
        <v>72</v>
      </c>
      <c r="AR167" t="s">
        <v>72</v>
      </c>
      <c r="AS167">
        <v>248</v>
      </c>
      <c r="AT167" s="4">
        <v>42768</v>
      </c>
      <c r="AU167" t="s">
        <v>73</v>
      </c>
      <c r="AV167">
        <v>248</v>
      </c>
      <c r="AW167" s="4">
        <v>42768</v>
      </c>
      <c r="BD167">
        <v>0</v>
      </c>
      <c r="BN167" t="s">
        <v>74</v>
      </c>
    </row>
    <row r="168" spans="1:66">
      <c r="A168">
        <v>100161</v>
      </c>
      <c r="B168" t="s">
        <v>109</v>
      </c>
      <c r="C168" s="1">
        <v>43300101</v>
      </c>
      <c r="D168" t="s">
        <v>67</v>
      </c>
      <c r="H168" t="str">
        <f t="shared" si="22"/>
        <v>00801720152</v>
      </c>
      <c r="I168" t="str">
        <f t="shared" si="22"/>
        <v>00801720152</v>
      </c>
      <c r="K168" t="str">
        <f>""</f>
        <v/>
      </c>
      <c r="M168" t="s">
        <v>68</v>
      </c>
      <c r="N168" t="str">
        <f t="shared" si="23"/>
        <v>FOR</v>
      </c>
      <c r="O168" t="s">
        <v>69</v>
      </c>
      <c r="P168" t="s">
        <v>75</v>
      </c>
      <c r="Q168">
        <v>2016</v>
      </c>
      <c r="R168" s="4">
        <v>42534</v>
      </c>
      <c r="S168" s="2">
        <v>42542</v>
      </c>
      <c r="T168" s="2">
        <v>42537</v>
      </c>
      <c r="U168" s="4">
        <v>42597</v>
      </c>
      <c r="V168" t="s">
        <v>71</v>
      </c>
      <c r="W168" t="str">
        <f>"        S01/21616440"</f>
        <v xml:space="preserve">        S01/21616440</v>
      </c>
      <c r="X168">
        <v>106.75</v>
      </c>
      <c r="Y168">
        <v>0</v>
      </c>
      <c r="Z168" s="5">
        <v>87.5</v>
      </c>
      <c r="AA168" s="3">
        <v>171</v>
      </c>
      <c r="AB168" s="5">
        <v>14962.5</v>
      </c>
      <c r="AC168">
        <v>87.5</v>
      </c>
      <c r="AD168">
        <v>171</v>
      </c>
      <c r="AE168" s="1">
        <v>14962.5</v>
      </c>
      <c r="AF168">
        <v>0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 s="2">
        <v>42831</v>
      </c>
      <c r="AQ168" t="s">
        <v>72</v>
      </c>
      <c r="AR168" t="s">
        <v>72</v>
      </c>
      <c r="AS168">
        <v>248</v>
      </c>
      <c r="AT168" s="4">
        <v>42768</v>
      </c>
      <c r="AU168" t="s">
        <v>73</v>
      </c>
      <c r="AV168">
        <v>248</v>
      </c>
      <c r="AW168" s="4">
        <v>42768</v>
      </c>
      <c r="BD168">
        <v>0</v>
      </c>
      <c r="BN168" t="s">
        <v>74</v>
      </c>
    </row>
    <row r="169" spans="1:66">
      <c r="A169">
        <v>100161</v>
      </c>
      <c r="B169" t="s">
        <v>109</v>
      </c>
      <c r="C169" s="1">
        <v>43300101</v>
      </c>
      <c r="D169" t="s">
        <v>67</v>
      </c>
      <c r="H169" t="str">
        <f t="shared" si="22"/>
        <v>00801720152</v>
      </c>
      <c r="I169" t="str">
        <f t="shared" si="22"/>
        <v>00801720152</v>
      </c>
      <c r="K169" t="str">
        <f>""</f>
        <v/>
      </c>
      <c r="M169" t="s">
        <v>68</v>
      </c>
      <c r="N169" t="str">
        <f t="shared" si="23"/>
        <v>FOR</v>
      </c>
      <c r="O169" t="s">
        <v>69</v>
      </c>
      <c r="P169" t="s">
        <v>75</v>
      </c>
      <c r="Q169">
        <v>2016</v>
      </c>
      <c r="R169" s="4">
        <v>42549</v>
      </c>
      <c r="S169" s="2">
        <v>42556</v>
      </c>
      <c r="T169" s="2">
        <v>42551</v>
      </c>
      <c r="U169" s="4">
        <v>42611</v>
      </c>
      <c r="V169" t="s">
        <v>71</v>
      </c>
      <c r="W169" t="str">
        <f>"        S01/21618537"</f>
        <v xml:space="preserve">        S01/21618537</v>
      </c>
      <c r="X169">
        <v>561.20000000000005</v>
      </c>
      <c r="Y169">
        <v>0</v>
      </c>
      <c r="Z169" s="5">
        <v>460</v>
      </c>
      <c r="AA169" s="3">
        <v>157</v>
      </c>
      <c r="AB169" s="5">
        <v>72220</v>
      </c>
      <c r="AC169">
        <v>460</v>
      </c>
      <c r="AD169">
        <v>157</v>
      </c>
      <c r="AE169" s="1">
        <v>72220</v>
      </c>
      <c r="AF169">
        <v>0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 s="2">
        <v>42831</v>
      </c>
      <c r="AQ169" t="s">
        <v>72</v>
      </c>
      <c r="AR169" t="s">
        <v>72</v>
      </c>
      <c r="AS169">
        <v>248</v>
      </c>
      <c r="AT169" s="4">
        <v>42768</v>
      </c>
      <c r="AU169" t="s">
        <v>73</v>
      </c>
      <c r="AV169">
        <v>248</v>
      </c>
      <c r="AW169" s="4">
        <v>42768</v>
      </c>
      <c r="BD169">
        <v>0</v>
      </c>
      <c r="BN169" t="s">
        <v>74</v>
      </c>
    </row>
    <row r="170" spans="1:66">
      <c r="A170">
        <v>100164</v>
      </c>
      <c r="B170" t="s">
        <v>110</v>
      </c>
      <c r="C170" s="1">
        <v>43300101</v>
      </c>
      <c r="D170" t="s">
        <v>67</v>
      </c>
      <c r="H170" t="str">
        <f t="shared" ref="H170:I193" si="24">"00803890151"</f>
        <v>00803890151</v>
      </c>
      <c r="I170" t="str">
        <f t="shared" si="24"/>
        <v>00803890151</v>
      </c>
      <c r="K170" t="str">
        <f>""</f>
        <v/>
      </c>
      <c r="M170" t="s">
        <v>68</v>
      </c>
      <c r="N170" t="str">
        <f t="shared" si="23"/>
        <v>FOR</v>
      </c>
      <c r="O170" t="s">
        <v>69</v>
      </c>
      <c r="P170" t="s">
        <v>75</v>
      </c>
      <c r="Q170">
        <v>2016</v>
      </c>
      <c r="R170" s="4">
        <v>42654</v>
      </c>
      <c r="S170" s="2">
        <v>42655</v>
      </c>
      <c r="T170" s="2">
        <v>42654</v>
      </c>
      <c r="U170" s="4">
        <v>42714</v>
      </c>
      <c r="V170" t="s">
        <v>71</v>
      </c>
      <c r="W170" t="str">
        <f>"           162038163"</f>
        <v xml:space="preserve">           162038163</v>
      </c>
      <c r="X170" s="1">
        <v>4851.33</v>
      </c>
      <c r="Y170">
        <v>0</v>
      </c>
      <c r="Z170" s="5">
        <v>3976.5</v>
      </c>
      <c r="AA170" s="3">
        <v>61</v>
      </c>
      <c r="AB170" s="5">
        <v>242566.5</v>
      </c>
      <c r="AC170" s="1">
        <v>3976.5</v>
      </c>
      <c r="AD170">
        <v>61</v>
      </c>
      <c r="AE170" s="1">
        <v>242566.5</v>
      </c>
      <c r="AF170">
        <v>0</v>
      </c>
      <c r="AJ170">
        <v>0</v>
      </c>
      <c r="AK170">
        <v>0</v>
      </c>
      <c r="AL170">
        <v>0</v>
      </c>
      <c r="AM170">
        <v>0</v>
      </c>
      <c r="AN170">
        <v>0</v>
      </c>
      <c r="AO170">
        <v>0</v>
      </c>
      <c r="AP170" s="2">
        <v>42831</v>
      </c>
      <c r="AQ170" t="s">
        <v>72</v>
      </c>
      <c r="AR170" t="s">
        <v>72</v>
      </c>
      <c r="AS170">
        <v>365</v>
      </c>
      <c r="AT170" s="4">
        <v>42775</v>
      </c>
      <c r="AU170" t="s">
        <v>73</v>
      </c>
      <c r="AV170">
        <v>365</v>
      </c>
      <c r="AW170" s="4">
        <v>42775</v>
      </c>
      <c r="BD170">
        <v>0</v>
      </c>
      <c r="BN170" t="s">
        <v>74</v>
      </c>
    </row>
    <row r="171" spans="1:66">
      <c r="A171">
        <v>100164</v>
      </c>
      <c r="B171" t="s">
        <v>110</v>
      </c>
      <c r="C171" s="1">
        <v>43300101</v>
      </c>
      <c r="D171" t="s">
        <v>67</v>
      </c>
      <c r="H171" t="str">
        <f t="shared" si="24"/>
        <v>00803890151</v>
      </c>
      <c r="I171" t="str">
        <f t="shared" si="24"/>
        <v>00803890151</v>
      </c>
      <c r="K171" t="str">
        <f>""</f>
        <v/>
      </c>
      <c r="M171" t="s">
        <v>68</v>
      </c>
      <c r="N171" t="str">
        <f t="shared" si="23"/>
        <v>FOR</v>
      </c>
      <c r="O171" t="s">
        <v>69</v>
      </c>
      <c r="P171" t="s">
        <v>75</v>
      </c>
      <c r="Q171">
        <v>2016</v>
      </c>
      <c r="R171" s="4">
        <v>42656</v>
      </c>
      <c r="S171" s="2">
        <v>42661</v>
      </c>
      <c r="T171" s="2">
        <v>42657</v>
      </c>
      <c r="U171" s="4">
        <v>42717</v>
      </c>
      <c r="V171" t="s">
        <v>71</v>
      </c>
      <c r="W171" t="str">
        <f>"           162038378"</f>
        <v xml:space="preserve">           162038378</v>
      </c>
      <c r="X171" s="1">
        <v>6023.51</v>
      </c>
      <c r="Y171">
        <v>0</v>
      </c>
      <c r="Z171" s="5">
        <v>4937.3</v>
      </c>
      <c r="AA171" s="3">
        <v>58</v>
      </c>
      <c r="AB171" s="5">
        <v>286363.40000000002</v>
      </c>
      <c r="AC171" s="1">
        <v>4937.3</v>
      </c>
      <c r="AD171">
        <v>58</v>
      </c>
      <c r="AE171" s="1">
        <v>286363.40000000002</v>
      </c>
      <c r="AF171">
        <v>0</v>
      </c>
      <c r="AJ171">
        <v>0</v>
      </c>
      <c r="AK171">
        <v>0</v>
      </c>
      <c r="AL171">
        <v>0</v>
      </c>
      <c r="AM171">
        <v>0</v>
      </c>
      <c r="AN171">
        <v>0</v>
      </c>
      <c r="AO171">
        <v>0</v>
      </c>
      <c r="AP171" s="2">
        <v>42831</v>
      </c>
      <c r="AQ171" t="s">
        <v>72</v>
      </c>
      <c r="AR171" t="s">
        <v>72</v>
      </c>
      <c r="AS171">
        <v>365</v>
      </c>
      <c r="AT171" s="4">
        <v>42775</v>
      </c>
      <c r="AU171" t="s">
        <v>73</v>
      </c>
      <c r="AV171">
        <v>365</v>
      </c>
      <c r="AW171" s="4">
        <v>42775</v>
      </c>
      <c r="BD171">
        <v>0</v>
      </c>
      <c r="BN171" t="s">
        <v>74</v>
      </c>
    </row>
    <row r="172" spans="1:66">
      <c r="A172">
        <v>100164</v>
      </c>
      <c r="B172" t="s">
        <v>110</v>
      </c>
      <c r="C172" s="1">
        <v>43300101</v>
      </c>
      <c r="D172" t="s">
        <v>67</v>
      </c>
      <c r="H172" t="str">
        <f t="shared" si="24"/>
        <v>00803890151</v>
      </c>
      <c r="I172" t="str">
        <f t="shared" si="24"/>
        <v>00803890151</v>
      </c>
      <c r="K172" t="str">
        <f>""</f>
        <v/>
      </c>
      <c r="M172" t="s">
        <v>68</v>
      </c>
      <c r="N172" t="str">
        <f t="shared" si="23"/>
        <v>FOR</v>
      </c>
      <c r="O172" t="s">
        <v>69</v>
      </c>
      <c r="P172" t="s">
        <v>75</v>
      </c>
      <c r="Q172">
        <v>2016</v>
      </c>
      <c r="R172" s="4">
        <v>42657</v>
      </c>
      <c r="S172" s="2">
        <v>42661</v>
      </c>
      <c r="T172" s="2">
        <v>42657</v>
      </c>
      <c r="U172" s="4">
        <v>42717</v>
      </c>
      <c r="V172" t="s">
        <v>71</v>
      </c>
      <c r="W172" t="str">
        <f>"           162038722"</f>
        <v xml:space="preserve">           162038722</v>
      </c>
      <c r="X172">
        <v>19.37</v>
      </c>
      <c r="Y172">
        <v>0</v>
      </c>
      <c r="Z172" s="5">
        <v>15.88</v>
      </c>
      <c r="AA172" s="3">
        <v>58</v>
      </c>
      <c r="AB172" s="3">
        <v>921.04</v>
      </c>
      <c r="AC172">
        <v>15.88</v>
      </c>
      <c r="AD172">
        <v>58</v>
      </c>
      <c r="AE172">
        <v>921.04</v>
      </c>
      <c r="AF172">
        <v>0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 s="2">
        <v>42831</v>
      </c>
      <c r="AQ172" t="s">
        <v>72</v>
      </c>
      <c r="AR172" t="s">
        <v>72</v>
      </c>
      <c r="AS172">
        <v>365</v>
      </c>
      <c r="AT172" s="4">
        <v>42775</v>
      </c>
      <c r="AU172" t="s">
        <v>73</v>
      </c>
      <c r="AV172">
        <v>365</v>
      </c>
      <c r="AW172" s="4">
        <v>42775</v>
      </c>
      <c r="BD172">
        <v>0</v>
      </c>
      <c r="BN172" t="s">
        <v>74</v>
      </c>
    </row>
    <row r="173" spans="1:66">
      <c r="A173">
        <v>100164</v>
      </c>
      <c r="B173" t="s">
        <v>110</v>
      </c>
      <c r="C173" s="1">
        <v>43300101</v>
      </c>
      <c r="D173" t="s">
        <v>67</v>
      </c>
      <c r="H173" t="str">
        <f t="shared" si="24"/>
        <v>00803890151</v>
      </c>
      <c r="I173" t="str">
        <f t="shared" si="24"/>
        <v>00803890151</v>
      </c>
      <c r="K173" t="str">
        <f>""</f>
        <v/>
      </c>
      <c r="M173" t="s">
        <v>68</v>
      </c>
      <c r="N173" t="str">
        <f t="shared" si="23"/>
        <v>FOR</v>
      </c>
      <c r="O173" t="s">
        <v>69</v>
      </c>
      <c r="P173" t="s">
        <v>75</v>
      </c>
      <c r="Q173">
        <v>2016</v>
      </c>
      <c r="R173" s="4">
        <v>42661</v>
      </c>
      <c r="S173" s="2">
        <v>42661</v>
      </c>
      <c r="T173" s="2">
        <v>42661</v>
      </c>
      <c r="U173" s="4">
        <v>42721</v>
      </c>
      <c r="V173" t="s">
        <v>71</v>
      </c>
      <c r="W173" t="str">
        <f>"           162039044"</f>
        <v xml:space="preserve">           162039044</v>
      </c>
      <c r="X173">
        <v>536.79999999999995</v>
      </c>
      <c r="Y173">
        <v>0</v>
      </c>
      <c r="Z173" s="5">
        <v>440</v>
      </c>
      <c r="AA173" s="3">
        <v>54</v>
      </c>
      <c r="AB173" s="5">
        <v>23760</v>
      </c>
      <c r="AC173">
        <v>440</v>
      </c>
      <c r="AD173">
        <v>54</v>
      </c>
      <c r="AE173" s="1">
        <v>23760</v>
      </c>
      <c r="AF173">
        <v>0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 s="2">
        <v>42831</v>
      </c>
      <c r="AQ173" t="s">
        <v>72</v>
      </c>
      <c r="AR173" t="s">
        <v>72</v>
      </c>
      <c r="AS173">
        <v>365</v>
      </c>
      <c r="AT173" s="4">
        <v>42775</v>
      </c>
      <c r="AU173" t="s">
        <v>73</v>
      </c>
      <c r="AV173">
        <v>365</v>
      </c>
      <c r="AW173" s="4">
        <v>42775</v>
      </c>
      <c r="BD173">
        <v>0</v>
      </c>
      <c r="BN173" t="s">
        <v>74</v>
      </c>
    </row>
    <row r="174" spans="1:66">
      <c r="A174">
        <v>100164</v>
      </c>
      <c r="B174" t="s">
        <v>110</v>
      </c>
      <c r="C174" s="1">
        <v>43300101</v>
      </c>
      <c r="D174" t="s">
        <v>67</v>
      </c>
      <c r="H174" t="str">
        <f t="shared" si="24"/>
        <v>00803890151</v>
      </c>
      <c r="I174" t="str">
        <f t="shared" si="24"/>
        <v>00803890151</v>
      </c>
      <c r="K174" t="str">
        <f>""</f>
        <v/>
      </c>
      <c r="M174" t="s">
        <v>68</v>
      </c>
      <c r="N174" t="str">
        <f t="shared" si="23"/>
        <v>FOR</v>
      </c>
      <c r="O174" t="s">
        <v>69</v>
      </c>
      <c r="P174" t="s">
        <v>75</v>
      </c>
      <c r="Q174">
        <v>2016</v>
      </c>
      <c r="R174" s="4">
        <v>42671</v>
      </c>
      <c r="S174" s="2">
        <v>42676</v>
      </c>
      <c r="T174" s="2">
        <v>42671</v>
      </c>
      <c r="U174" s="4">
        <v>42731</v>
      </c>
      <c r="V174" t="s">
        <v>71</v>
      </c>
      <c r="W174" t="str">
        <f>"           162040525"</f>
        <v xml:space="preserve">           162040525</v>
      </c>
      <c r="X174" s="1">
        <v>4465.2</v>
      </c>
      <c r="Y174">
        <v>0</v>
      </c>
      <c r="Z174" s="5">
        <v>3660</v>
      </c>
      <c r="AA174" s="3">
        <v>44</v>
      </c>
      <c r="AB174" s="5">
        <v>161040</v>
      </c>
      <c r="AC174" s="1">
        <v>3660</v>
      </c>
      <c r="AD174">
        <v>44</v>
      </c>
      <c r="AE174" s="1">
        <v>161040</v>
      </c>
      <c r="AF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 s="2">
        <v>42831</v>
      </c>
      <c r="AQ174" t="s">
        <v>72</v>
      </c>
      <c r="AR174" t="s">
        <v>72</v>
      </c>
      <c r="AS174">
        <v>365</v>
      </c>
      <c r="AT174" s="4">
        <v>42775</v>
      </c>
      <c r="AU174" t="s">
        <v>73</v>
      </c>
      <c r="AV174">
        <v>365</v>
      </c>
      <c r="AW174" s="4">
        <v>42775</v>
      </c>
      <c r="BD174">
        <v>0</v>
      </c>
      <c r="BN174" t="s">
        <v>74</v>
      </c>
    </row>
    <row r="175" spans="1:66">
      <c r="A175">
        <v>100164</v>
      </c>
      <c r="B175" t="s">
        <v>110</v>
      </c>
      <c r="C175" s="1">
        <v>43300101</v>
      </c>
      <c r="D175" t="s">
        <v>67</v>
      </c>
      <c r="H175" t="str">
        <f t="shared" si="24"/>
        <v>00803890151</v>
      </c>
      <c r="I175" t="str">
        <f t="shared" si="24"/>
        <v>00803890151</v>
      </c>
      <c r="K175" t="str">
        <f>""</f>
        <v/>
      </c>
      <c r="M175" t="s">
        <v>68</v>
      </c>
      <c r="N175" t="str">
        <f t="shared" si="23"/>
        <v>FOR</v>
      </c>
      <c r="O175" t="s">
        <v>69</v>
      </c>
      <c r="P175" t="s">
        <v>75</v>
      </c>
      <c r="Q175">
        <v>2016</v>
      </c>
      <c r="R175" s="4">
        <v>42678</v>
      </c>
      <c r="S175" s="2">
        <v>42683</v>
      </c>
      <c r="T175" s="2">
        <v>42678</v>
      </c>
      <c r="U175" s="4">
        <v>42738</v>
      </c>
      <c r="V175" t="s">
        <v>71</v>
      </c>
      <c r="W175" t="str">
        <f>"           162041239"</f>
        <v xml:space="preserve">           162041239</v>
      </c>
      <c r="X175" s="1">
        <v>1307.8399999999999</v>
      </c>
      <c r="Y175">
        <v>0</v>
      </c>
      <c r="Z175" s="5">
        <v>1072</v>
      </c>
      <c r="AA175" s="3">
        <v>59</v>
      </c>
      <c r="AB175" s="5">
        <v>63248</v>
      </c>
      <c r="AC175" s="1">
        <v>1072</v>
      </c>
      <c r="AD175">
        <v>59</v>
      </c>
      <c r="AE175" s="1">
        <v>63248</v>
      </c>
      <c r="AF175">
        <v>235.84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 s="2">
        <v>42831</v>
      </c>
      <c r="AQ175" t="s">
        <v>72</v>
      </c>
      <c r="AR175" t="s">
        <v>72</v>
      </c>
      <c r="AS175">
        <v>721</v>
      </c>
      <c r="AT175" s="4">
        <v>42797</v>
      </c>
      <c r="AU175" t="s">
        <v>73</v>
      </c>
      <c r="AV175">
        <v>721</v>
      </c>
      <c r="AW175" s="4">
        <v>42797</v>
      </c>
      <c r="AZ175">
        <v>235.84</v>
      </c>
      <c r="BD175">
        <v>0</v>
      </c>
      <c r="BN175" t="s">
        <v>74</v>
      </c>
    </row>
    <row r="176" spans="1:66">
      <c r="A176">
        <v>100164</v>
      </c>
      <c r="B176" t="s">
        <v>110</v>
      </c>
      <c r="C176" s="1">
        <v>43300101</v>
      </c>
      <c r="D176" t="s">
        <v>67</v>
      </c>
      <c r="H176" t="str">
        <f t="shared" si="24"/>
        <v>00803890151</v>
      </c>
      <c r="I176" t="str">
        <f t="shared" si="24"/>
        <v>00803890151</v>
      </c>
      <c r="K176" t="str">
        <f>""</f>
        <v/>
      </c>
      <c r="M176" t="s">
        <v>68</v>
      </c>
      <c r="N176" t="str">
        <f t="shared" si="23"/>
        <v>FOR</v>
      </c>
      <c r="O176" t="s">
        <v>69</v>
      </c>
      <c r="P176" t="s">
        <v>75</v>
      </c>
      <c r="Q176">
        <v>2016</v>
      </c>
      <c r="R176" s="4">
        <v>42682</v>
      </c>
      <c r="S176" s="2">
        <v>42684</v>
      </c>
      <c r="T176" s="2">
        <v>42682</v>
      </c>
      <c r="U176" s="4">
        <v>42742</v>
      </c>
      <c r="V176" t="s">
        <v>71</v>
      </c>
      <c r="W176" t="str">
        <f>"           162041636"</f>
        <v xml:space="preserve">           162041636</v>
      </c>
      <c r="X176">
        <v>256.2</v>
      </c>
      <c r="Y176">
        <v>0</v>
      </c>
      <c r="Z176" s="5">
        <v>210</v>
      </c>
      <c r="AA176" s="3">
        <v>55</v>
      </c>
      <c r="AB176" s="5">
        <v>11550</v>
      </c>
      <c r="AC176">
        <v>210</v>
      </c>
      <c r="AD176">
        <v>55</v>
      </c>
      <c r="AE176" s="1">
        <v>11550</v>
      </c>
      <c r="AF176">
        <v>46.2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 s="2">
        <v>42831</v>
      </c>
      <c r="AQ176" t="s">
        <v>72</v>
      </c>
      <c r="AR176" t="s">
        <v>72</v>
      </c>
      <c r="AS176">
        <v>721</v>
      </c>
      <c r="AT176" s="4">
        <v>42797</v>
      </c>
      <c r="AU176" t="s">
        <v>73</v>
      </c>
      <c r="AV176">
        <v>721</v>
      </c>
      <c r="AW176" s="4">
        <v>42797</v>
      </c>
      <c r="AZ176">
        <v>46.2</v>
      </c>
      <c r="BD176">
        <v>0</v>
      </c>
      <c r="BN176" t="s">
        <v>74</v>
      </c>
    </row>
    <row r="177" spans="1:66">
      <c r="A177">
        <v>100164</v>
      </c>
      <c r="B177" t="s">
        <v>110</v>
      </c>
      <c r="C177" s="1">
        <v>43300101</v>
      </c>
      <c r="D177" t="s">
        <v>67</v>
      </c>
      <c r="H177" t="str">
        <f t="shared" si="24"/>
        <v>00803890151</v>
      </c>
      <c r="I177" t="str">
        <f t="shared" si="24"/>
        <v>00803890151</v>
      </c>
      <c r="K177" t="str">
        <f>""</f>
        <v/>
      </c>
      <c r="M177" t="s">
        <v>68</v>
      </c>
      <c r="N177" t="str">
        <f t="shared" si="23"/>
        <v>FOR</v>
      </c>
      <c r="O177" t="s">
        <v>69</v>
      </c>
      <c r="P177" t="s">
        <v>75</v>
      </c>
      <c r="Q177">
        <v>2016</v>
      </c>
      <c r="R177" s="4">
        <v>42685</v>
      </c>
      <c r="S177" s="2">
        <v>42690</v>
      </c>
      <c r="T177" s="2">
        <v>42685</v>
      </c>
      <c r="U177" s="4">
        <v>42745</v>
      </c>
      <c r="V177" t="s">
        <v>71</v>
      </c>
      <c r="W177" t="str">
        <f>"           162042265"</f>
        <v xml:space="preserve">           162042265</v>
      </c>
      <c r="X177" s="1">
        <v>10449.6</v>
      </c>
      <c r="Y177">
        <v>0</v>
      </c>
      <c r="Z177" s="5">
        <v>8565.24</v>
      </c>
      <c r="AA177" s="3">
        <v>52</v>
      </c>
      <c r="AB177" s="5">
        <v>445392.48</v>
      </c>
      <c r="AC177" s="1">
        <v>8565.24</v>
      </c>
      <c r="AD177">
        <v>52</v>
      </c>
      <c r="AE177" s="1">
        <v>445392.48</v>
      </c>
      <c r="AF177" s="1">
        <v>1884.36</v>
      </c>
      <c r="AJ177">
        <v>0</v>
      </c>
      <c r="AK177">
        <v>0</v>
      </c>
      <c r="AL177">
        <v>0</v>
      </c>
      <c r="AM177">
        <v>0</v>
      </c>
      <c r="AN177">
        <v>0</v>
      </c>
      <c r="AO177">
        <v>0</v>
      </c>
      <c r="AP177" s="2">
        <v>42831</v>
      </c>
      <c r="AQ177" t="s">
        <v>72</v>
      </c>
      <c r="AR177" t="s">
        <v>72</v>
      </c>
      <c r="AS177">
        <v>721</v>
      </c>
      <c r="AT177" s="4">
        <v>42797</v>
      </c>
      <c r="AU177" t="s">
        <v>73</v>
      </c>
      <c r="AV177">
        <v>721</v>
      </c>
      <c r="AW177" s="4">
        <v>42797</v>
      </c>
      <c r="AZ177" s="1">
        <v>1884.36</v>
      </c>
      <c r="BD177">
        <v>0</v>
      </c>
      <c r="BN177" t="s">
        <v>74</v>
      </c>
    </row>
    <row r="178" spans="1:66">
      <c r="A178">
        <v>100164</v>
      </c>
      <c r="B178" t="s">
        <v>110</v>
      </c>
      <c r="C178" s="1">
        <v>43300101</v>
      </c>
      <c r="D178" t="s">
        <v>67</v>
      </c>
      <c r="H178" t="str">
        <f t="shared" si="24"/>
        <v>00803890151</v>
      </c>
      <c r="I178" t="str">
        <f t="shared" si="24"/>
        <v>00803890151</v>
      </c>
      <c r="K178" t="str">
        <f>""</f>
        <v/>
      </c>
      <c r="M178" t="s">
        <v>68</v>
      </c>
      <c r="N178" t="str">
        <f t="shared" si="23"/>
        <v>FOR</v>
      </c>
      <c r="O178" t="s">
        <v>69</v>
      </c>
      <c r="P178" t="s">
        <v>75</v>
      </c>
      <c r="Q178">
        <v>2016</v>
      </c>
      <c r="R178" s="4">
        <v>42685</v>
      </c>
      <c r="S178" s="2">
        <v>42690</v>
      </c>
      <c r="T178" s="2">
        <v>42685</v>
      </c>
      <c r="U178" s="4">
        <v>42745</v>
      </c>
      <c r="V178" t="s">
        <v>71</v>
      </c>
      <c r="W178" t="str">
        <f>"           162042266"</f>
        <v xml:space="preserve">           162042266</v>
      </c>
      <c r="X178" s="1">
        <v>8820.6</v>
      </c>
      <c r="Y178">
        <v>0</v>
      </c>
      <c r="Z178" s="5">
        <v>7230</v>
      </c>
      <c r="AA178" s="3">
        <v>52</v>
      </c>
      <c r="AB178" s="5">
        <v>375960</v>
      </c>
      <c r="AC178" s="1">
        <v>7230</v>
      </c>
      <c r="AD178">
        <v>52</v>
      </c>
      <c r="AE178" s="1">
        <v>375960</v>
      </c>
      <c r="AF178" s="1">
        <v>1590.6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 s="2">
        <v>42831</v>
      </c>
      <c r="AQ178" t="s">
        <v>72</v>
      </c>
      <c r="AR178" t="s">
        <v>72</v>
      </c>
      <c r="AS178">
        <v>721</v>
      </c>
      <c r="AT178" s="4">
        <v>42797</v>
      </c>
      <c r="AU178" t="s">
        <v>73</v>
      </c>
      <c r="AV178">
        <v>721</v>
      </c>
      <c r="AW178" s="4">
        <v>42797</v>
      </c>
      <c r="AZ178" s="1">
        <v>1590.6</v>
      </c>
      <c r="BD178">
        <v>0</v>
      </c>
      <c r="BN178" t="s">
        <v>74</v>
      </c>
    </row>
    <row r="179" spans="1:66">
      <c r="A179">
        <v>100164</v>
      </c>
      <c r="B179" t="s">
        <v>110</v>
      </c>
      <c r="C179" s="1">
        <v>43300101</v>
      </c>
      <c r="D179" t="s">
        <v>67</v>
      </c>
      <c r="H179" t="str">
        <f t="shared" si="24"/>
        <v>00803890151</v>
      </c>
      <c r="I179" t="str">
        <f t="shared" si="24"/>
        <v>00803890151</v>
      </c>
      <c r="K179" t="str">
        <f>""</f>
        <v/>
      </c>
      <c r="M179" t="s">
        <v>68</v>
      </c>
      <c r="N179" t="str">
        <f t="shared" si="23"/>
        <v>FOR</v>
      </c>
      <c r="O179" t="s">
        <v>69</v>
      </c>
      <c r="P179" t="s">
        <v>75</v>
      </c>
      <c r="Q179">
        <v>2016</v>
      </c>
      <c r="R179" s="4">
        <v>42705</v>
      </c>
      <c r="S179" s="2">
        <v>42711</v>
      </c>
      <c r="T179" s="2">
        <v>42706</v>
      </c>
      <c r="U179" s="4">
        <v>42766</v>
      </c>
      <c r="V179" t="s">
        <v>71</v>
      </c>
      <c r="W179" t="str">
        <f>"           162044694"</f>
        <v xml:space="preserve">           162044694</v>
      </c>
      <c r="X179">
        <v>17.079999999999998</v>
      </c>
      <c r="Y179">
        <v>0</v>
      </c>
      <c r="Z179" s="5">
        <v>14</v>
      </c>
      <c r="AA179" s="3">
        <v>31</v>
      </c>
      <c r="AB179" s="3">
        <v>434</v>
      </c>
      <c r="AC179">
        <v>14</v>
      </c>
      <c r="AD179">
        <v>31</v>
      </c>
      <c r="AE179">
        <v>434</v>
      </c>
      <c r="AF179">
        <v>3.08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 s="2">
        <v>42831</v>
      </c>
      <c r="AQ179" t="s">
        <v>72</v>
      </c>
      <c r="AR179" t="s">
        <v>72</v>
      </c>
      <c r="AS179">
        <v>721</v>
      </c>
      <c r="AT179" s="4">
        <v>42797</v>
      </c>
      <c r="AU179" t="s">
        <v>73</v>
      </c>
      <c r="AV179">
        <v>721</v>
      </c>
      <c r="AW179" s="4">
        <v>42797</v>
      </c>
      <c r="AZ179">
        <v>3.08</v>
      </c>
      <c r="BD179">
        <v>0</v>
      </c>
      <c r="BN179" t="s">
        <v>74</v>
      </c>
    </row>
    <row r="180" spans="1:66">
      <c r="A180">
        <v>100164</v>
      </c>
      <c r="B180" t="s">
        <v>110</v>
      </c>
      <c r="C180" s="1">
        <v>43300101</v>
      </c>
      <c r="D180" t="s">
        <v>67</v>
      </c>
      <c r="H180" t="str">
        <f t="shared" si="24"/>
        <v>00803890151</v>
      </c>
      <c r="I180" t="str">
        <f t="shared" si="24"/>
        <v>00803890151</v>
      </c>
      <c r="K180" t="str">
        <f>""</f>
        <v/>
      </c>
      <c r="M180" t="s">
        <v>68</v>
      </c>
      <c r="N180" t="str">
        <f t="shared" si="23"/>
        <v>FOR</v>
      </c>
      <c r="O180" t="s">
        <v>69</v>
      </c>
      <c r="P180" t="s">
        <v>75</v>
      </c>
      <c r="Q180">
        <v>2016</v>
      </c>
      <c r="R180" s="4">
        <v>42712</v>
      </c>
      <c r="S180" s="2">
        <v>42718</v>
      </c>
      <c r="T180" s="2">
        <v>42712</v>
      </c>
      <c r="U180" s="4">
        <v>42772</v>
      </c>
      <c r="V180" t="s">
        <v>71</v>
      </c>
      <c r="W180" t="str">
        <f>"           162045766"</f>
        <v xml:space="preserve">           162045766</v>
      </c>
      <c r="X180">
        <v>146.4</v>
      </c>
      <c r="Y180">
        <v>0</v>
      </c>
      <c r="Z180" s="5">
        <v>120</v>
      </c>
      <c r="AA180" s="3">
        <v>25</v>
      </c>
      <c r="AB180" s="5">
        <v>3000</v>
      </c>
      <c r="AC180">
        <v>120</v>
      </c>
      <c r="AD180">
        <v>25</v>
      </c>
      <c r="AE180" s="1">
        <v>3000</v>
      </c>
      <c r="AF180">
        <v>26.4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 s="2">
        <v>42831</v>
      </c>
      <c r="AQ180" t="s">
        <v>72</v>
      </c>
      <c r="AR180" t="s">
        <v>72</v>
      </c>
      <c r="AS180">
        <v>721</v>
      </c>
      <c r="AT180" s="4">
        <v>42797</v>
      </c>
      <c r="AU180" t="s">
        <v>73</v>
      </c>
      <c r="AV180">
        <v>721</v>
      </c>
      <c r="AW180" s="4">
        <v>42797</v>
      </c>
      <c r="AY180">
        <v>26.4</v>
      </c>
      <c r="BD180">
        <v>0</v>
      </c>
      <c r="BN180" t="s">
        <v>74</v>
      </c>
    </row>
    <row r="181" spans="1:66">
      <c r="A181">
        <v>100164</v>
      </c>
      <c r="B181" t="s">
        <v>110</v>
      </c>
      <c r="C181" s="1">
        <v>43300101</v>
      </c>
      <c r="D181" t="s">
        <v>67</v>
      </c>
      <c r="H181" t="str">
        <f t="shared" si="24"/>
        <v>00803890151</v>
      </c>
      <c r="I181" t="str">
        <f t="shared" si="24"/>
        <v>00803890151</v>
      </c>
      <c r="K181" t="str">
        <f>""</f>
        <v/>
      </c>
      <c r="M181" t="s">
        <v>68</v>
      </c>
      <c r="N181" t="str">
        <f t="shared" si="23"/>
        <v>FOR</v>
      </c>
      <c r="O181" t="s">
        <v>69</v>
      </c>
      <c r="P181" t="s">
        <v>75</v>
      </c>
      <c r="Q181">
        <v>2016</v>
      </c>
      <c r="R181" s="4">
        <v>42712</v>
      </c>
      <c r="S181" s="2">
        <v>42718</v>
      </c>
      <c r="T181" s="2">
        <v>42712</v>
      </c>
      <c r="U181" s="4">
        <v>42772</v>
      </c>
      <c r="V181" t="s">
        <v>71</v>
      </c>
      <c r="W181" t="str">
        <f>"           162045767"</f>
        <v xml:space="preserve">           162045767</v>
      </c>
      <c r="X181">
        <v>729.56</v>
      </c>
      <c r="Y181">
        <v>0</v>
      </c>
      <c r="Z181" s="5">
        <v>598</v>
      </c>
      <c r="AA181" s="3">
        <v>25</v>
      </c>
      <c r="AB181" s="5">
        <v>14950</v>
      </c>
      <c r="AC181">
        <v>598</v>
      </c>
      <c r="AD181">
        <v>25</v>
      </c>
      <c r="AE181" s="1">
        <v>14950</v>
      </c>
      <c r="AF181">
        <v>131.56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 s="2">
        <v>42831</v>
      </c>
      <c r="AQ181" t="s">
        <v>72</v>
      </c>
      <c r="AR181" t="s">
        <v>72</v>
      </c>
      <c r="AS181">
        <v>721</v>
      </c>
      <c r="AT181" s="4">
        <v>42797</v>
      </c>
      <c r="AU181" t="s">
        <v>73</v>
      </c>
      <c r="AV181">
        <v>721</v>
      </c>
      <c r="AW181" s="4">
        <v>42797</v>
      </c>
      <c r="AY181">
        <v>131.56</v>
      </c>
      <c r="BD181">
        <v>0</v>
      </c>
      <c r="BN181" t="s">
        <v>74</v>
      </c>
    </row>
    <row r="182" spans="1:66">
      <c r="A182">
        <v>100164</v>
      </c>
      <c r="B182" t="s">
        <v>110</v>
      </c>
      <c r="C182" s="1">
        <v>43300101</v>
      </c>
      <c r="D182" t="s">
        <v>67</v>
      </c>
      <c r="H182" t="str">
        <f t="shared" si="24"/>
        <v>00803890151</v>
      </c>
      <c r="I182" t="str">
        <f t="shared" si="24"/>
        <v>00803890151</v>
      </c>
      <c r="K182" t="str">
        <f>""</f>
        <v/>
      </c>
      <c r="M182" t="s">
        <v>68</v>
      </c>
      <c r="N182" t="str">
        <f t="shared" si="23"/>
        <v>FOR</v>
      </c>
      <c r="O182" t="s">
        <v>69</v>
      </c>
      <c r="P182" t="s">
        <v>75</v>
      </c>
      <c r="Q182">
        <v>2016</v>
      </c>
      <c r="R182" s="4">
        <v>42712</v>
      </c>
      <c r="S182" s="2">
        <v>42718</v>
      </c>
      <c r="T182" s="2">
        <v>42712</v>
      </c>
      <c r="U182" s="4">
        <v>42772</v>
      </c>
      <c r="V182" t="s">
        <v>71</v>
      </c>
      <c r="W182" t="str">
        <f>"           162045768"</f>
        <v xml:space="preserve">           162045768</v>
      </c>
      <c r="X182">
        <v>506.3</v>
      </c>
      <c r="Y182">
        <v>0</v>
      </c>
      <c r="Z182" s="5">
        <v>415</v>
      </c>
      <c r="AA182" s="3">
        <v>25</v>
      </c>
      <c r="AB182" s="5">
        <v>10375</v>
      </c>
      <c r="AC182">
        <v>415</v>
      </c>
      <c r="AD182">
        <v>25</v>
      </c>
      <c r="AE182" s="1">
        <v>10375</v>
      </c>
      <c r="AF182">
        <v>91.3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 s="2">
        <v>42831</v>
      </c>
      <c r="AQ182" t="s">
        <v>72</v>
      </c>
      <c r="AR182" t="s">
        <v>72</v>
      </c>
      <c r="AS182">
        <v>721</v>
      </c>
      <c r="AT182" s="4">
        <v>42797</v>
      </c>
      <c r="AU182" t="s">
        <v>73</v>
      </c>
      <c r="AV182">
        <v>721</v>
      </c>
      <c r="AW182" s="4">
        <v>42797</v>
      </c>
      <c r="AY182">
        <v>91.3</v>
      </c>
      <c r="BD182">
        <v>0</v>
      </c>
      <c r="BN182" t="s">
        <v>74</v>
      </c>
    </row>
    <row r="183" spans="1:66">
      <c r="A183">
        <v>100164</v>
      </c>
      <c r="B183" t="s">
        <v>110</v>
      </c>
      <c r="C183" s="1">
        <v>43300101</v>
      </c>
      <c r="D183" t="s">
        <v>67</v>
      </c>
      <c r="H183" t="str">
        <f t="shared" si="24"/>
        <v>00803890151</v>
      </c>
      <c r="I183" t="str">
        <f t="shared" si="24"/>
        <v>00803890151</v>
      </c>
      <c r="K183" t="str">
        <f>""</f>
        <v/>
      </c>
      <c r="M183" t="s">
        <v>68</v>
      </c>
      <c r="N183" t="str">
        <f t="shared" si="23"/>
        <v>FOR</v>
      </c>
      <c r="O183" t="s">
        <v>69</v>
      </c>
      <c r="P183" t="s">
        <v>75</v>
      </c>
      <c r="Q183">
        <v>2016</v>
      </c>
      <c r="R183" s="4">
        <v>42712</v>
      </c>
      <c r="S183" s="2">
        <v>42718</v>
      </c>
      <c r="T183" s="2">
        <v>42712</v>
      </c>
      <c r="U183" s="4">
        <v>42772</v>
      </c>
      <c r="V183" t="s">
        <v>71</v>
      </c>
      <c r="W183" t="str">
        <f>"           162045769"</f>
        <v xml:space="preserve">           162045769</v>
      </c>
      <c r="X183">
        <v>87.84</v>
      </c>
      <c r="Y183">
        <v>0</v>
      </c>
      <c r="Z183" s="5">
        <v>72</v>
      </c>
      <c r="AA183" s="3">
        <v>25</v>
      </c>
      <c r="AB183" s="5">
        <v>1800</v>
      </c>
      <c r="AC183">
        <v>72</v>
      </c>
      <c r="AD183">
        <v>25</v>
      </c>
      <c r="AE183" s="1">
        <v>1800</v>
      </c>
      <c r="AF183">
        <v>15.84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 s="2">
        <v>42831</v>
      </c>
      <c r="AQ183" t="s">
        <v>72</v>
      </c>
      <c r="AR183" t="s">
        <v>72</v>
      </c>
      <c r="AS183">
        <v>721</v>
      </c>
      <c r="AT183" s="4">
        <v>42797</v>
      </c>
      <c r="AU183" t="s">
        <v>73</v>
      </c>
      <c r="AV183">
        <v>721</v>
      </c>
      <c r="AW183" s="4">
        <v>42797</v>
      </c>
      <c r="AY183">
        <v>15.84</v>
      </c>
      <c r="BD183">
        <v>0</v>
      </c>
      <c r="BN183" t="s">
        <v>74</v>
      </c>
    </row>
    <row r="184" spans="1:66">
      <c r="A184">
        <v>100164</v>
      </c>
      <c r="B184" t="s">
        <v>110</v>
      </c>
      <c r="C184" s="1">
        <v>43300101</v>
      </c>
      <c r="D184" t="s">
        <v>67</v>
      </c>
      <c r="H184" t="str">
        <f t="shared" si="24"/>
        <v>00803890151</v>
      </c>
      <c r="I184" t="str">
        <f t="shared" si="24"/>
        <v>00803890151</v>
      </c>
      <c r="K184" t="str">
        <f>""</f>
        <v/>
      </c>
      <c r="M184" t="s">
        <v>68</v>
      </c>
      <c r="N184" t="str">
        <f t="shared" si="23"/>
        <v>FOR</v>
      </c>
      <c r="O184" t="s">
        <v>69</v>
      </c>
      <c r="P184" t="s">
        <v>75</v>
      </c>
      <c r="Q184">
        <v>2016</v>
      </c>
      <c r="R184" s="4">
        <v>42712</v>
      </c>
      <c r="S184" s="2">
        <v>42718</v>
      </c>
      <c r="T184" s="2">
        <v>42712</v>
      </c>
      <c r="U184" s="4">
        <v>42772</v>
      </c>
      <c r="V184" t="s">
        <v>71</v>
      </c>
      <c r="W184" t="str">
        <f>"           162045770"</f>
        <v xml:space="preserve">           162045770</v>
      </c>
      <c r="X184" s="1">
        <v>13708.53</v>
      </c>
      <c r="Y184">
        <v>0</v>
      </c>
      <c r="Z184" s="5">
        <v>11236.5</v>
      </c>
      <c r="AA184" s="3">
        <v>25</v>
      </c>
      <c r="AB184" s="5">
        <v>280912.5</v>
      </c>
      <c r="AC184" s="1">
        <v>11236.5</v>
      </c>
      <c r="AD184">
        <v>25</v>
      </c>
      <c r="AE184" s="1">
        <v>280912.5</v>
      </c>
      <c r="AF184" s="1">
        <v>2472.0300000000002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0</v>
      </c>
      <c r="AP184" s="2">
        <v>42831</v>
      </c>
      <c r="AQ184" t="s">
        <v>72</v>
      </c>
      <c r="AR184" t="s">
        <v>72</v>
      </c>
      <c r="AS184">
        <v>721</v>
      </c>
      <c r="AT184" s="4">
        <v>42797</v>
      </c>
      <c r="AU184" t="s">
        <v>73</v>
      </c>
      <c r="AV184">
        <v>721</v>
      </c>
      <c r="AW184" s="4">
        <v>42797</v>
      </c>
      <c r="AY184" s="1">
        <v>2472.0300000000002</v>
      </c>
      <c r="BD184">
        <v>0</v>
      </c>
      <c r="BN184" t="s">
        <v>74</v>
      </c>
    </row>
    <row r="185" spans="1:66">
      <c r="A185">
        <v>100164</v>
      </c>
      <c r="B185" t="s">
        <v>110</v>
      </c>
      <c r="C185" s="1">
        <v>43300101</v>
      </c>
      <c r="D185" t="s">
        <v>67</v>
      </c>
      <c r="H185" t="str">
        <f t="shared" si="24"/>
        <v>00803890151</v>
      </c>
      <c r="I185" t="str">
        <f t="shared" si="24"/>
        <v>00803890151</v>
      </c>
      <c r="K185" t="str">
        <f>""</f>
        <v/>
      </c>
      <c r="M185" t="s">
        <v>68</v>
      </c>
      <c r="N185" t="str">
        <f t="shared" si="23"/>
        <v>FOR</v>
      </c>
      <c r="O185" t="s">
        <v>69</v>
      </c>
      <c r="P185" t="s">
        <v>75</v>
      </c>
      <c r="Q185">
        <v>2016</v>
      </c>
      <c r="R185" s="4">
        <v>42712</v>
      </c>
      <c r="S185" s="2">
        <v>42718</v>
      </c>
      <c r="T185" s="2">
        <v>42712</v>
      </c>
      <c r="U185" s="4">
        <v>42772</v>
      </c>
      <c r="V185" t="s">
        <v>71</v>
      </c>
      <c r="W185" t="str">
        <f>"           162045771"</f>
        <v xml:space="preserve">           162045771</v>
      </c>
      <c r="X185" s="1">
        <v>9261.6299999999992</v>
      </c>
      <c r="Y185">
        <v>0</v>
      </c>
      <c r="Z185" s="5">
        <v>7591.5</v>
      </c>
      <c r="AA185" s="3">
        <v>25</v>
      </c>
      <c r="AB185" s="5">
        <v>189787.5</v>
      </c>
      <c r="AC185" s="1">
        <v>7591.5</v>
      </c>
      <c r="AD185">
        <v>25</v>
      </c>
      <c r="AE185" s="1">
        <v>189787.5</v>
      </c>
      <c r="AF185" s="1">
        <v>1670.13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 s="2">
        <v>42831</v>
      </c>
      <c r="AQ185" t="s">
        <v>72</v>
      </c>
      <c r="AR185" t="s">
        <v>72</v>
      </c>
      <c r="AS185">
        <v>721</v>
      </c>
      <c r="AT185" s="4">
        <v>42797</v>
      </c>
      <c r="AU185" t="s">
        <v>73</v>
      </c>
      <c r="AV185">
        <v>721</v>
      </c>
      <c r="AW185" s="4">
        <v>42797</v>
      </c>
      <c r="AY185" s="1">
        <v>1670.13</v>
      </c>
      <c r="BD185">
        <v>0</v>
      </c>
      <c r="BN185" t="s">
        <v>74</v>
      </c>
    </row>
    <row r="186" spans="1:66">
      <c r="A186">
        <v>100164</v>
      </c>
      <c r="B186" t="s">
        <v>110</v>
      </c>
      <c r="C186" s="1">
        <v>43300101</v>
      </c>
      <c r="D186" t="s">
        <v>67</v>
      </c>
      <c r="H186" t="str">
        <f t="shared" si="24"/>
        <v>00803890151</v>
      </c>
      <c r="I186" t="str">
        <f t="shared" si="24"/>
        <v>00803890151</v>
      </c>
      <c r="K186" t="str">
        <f>""</f>
        <v/>
      </c>
      <c r="M186" t="s">
        <v>68</v>
      </c>
      <c r="N186" t="str">
        <f t="shared" si="23"/>
        <v>FOR</v>
      </c>
      <c r="O186" t="s">
        <v>69</v>
      </c>
      <c r="P186" t="s">
        <v>75</v>
      </c>
      <c r="Q186">
        <v>2016</v>
      </c>
      <c r="R186" s="4">
        <v>42713</v>
      </c>
      <c r="S186" s="2">
        <v>42718</v>
      </c>
      <c r="T186" s="2">
        <v>42713</v>
      </c>
      <c r="U186" s="4">
        <v>42773</v>
      </c>
      <c r="V186" t="s">
        <v>71</v>
      </c>
      <c r="W186" t="str">
        <f>"           162046075"</f>
        <v xml:space="preserve">           162046075</v>
      </c>
      <c r="X186">
        <v>984.15</v>
      </c>
      <c r="Y186">
        <v>0</v>
      </c>
      <c r="Z186" s="5">
        <v>806.68</v>
      </c>
      <c r="AA186" s="3">
        <v>24</v>
      </c>
      <c r="AB186" s="5">
        <v>19360.32</v>
      </c>
      <c r="AC186">
        <v>806.68</v>
      </c>
      <c r="AD186">
        <v>24</v>
      </c>
      <c r="AE186" s="1">
        <v>19360.32</v>
      </c>
      <c r="AF186">
        <v>177.47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 s="2">
        <v>42831</v>
      </c>
      <c r="AQ186" t="s">
        <v>72</v>
      </c>
      <c r="AR186" t="s">
        <v>72</v>
      </c>
      <c r="AS186">
        <v>721</v>
      </c>
      <c r="AT186" s="4">
        <v>42797</v>
      </c>
      <c r="AU186" t="s">
        <v>73</v>
      </c>
      <c r="AV186">
        <v>721</v>
      </c>
      <c r="AW186" s="4">
        <v>42797</v>
      </c>
      <c r="AY186">
        <v>177.47</v>
      </c>
      <c r="BD186">
        <v>0</v>
      </c>
      <c r="BN186" t="s">
        <v>74</v>
      </c>
    </row>
    <row r="187" spans="1:66">
      <c r="A187">
        <v>100164</v>
      </c>
      <c r="B187" t="s">
        <v>110</v>
      </c>
      <c r="C187" s="1">
        <v>43300101</v>
      </c>
      <c r="D187" t="s">
        <v>67</v>
      </c>
      <c r="H187" t="str">
        <f t="shared" si="24"/>
        <v>00803890151</v>
      </c>
      <c r="I187" t="str">
        <f t="shared" si="24"/>
        <v>00803890151</v>
      </c>
      <c r="K187" t="str">
        <f>""</f>
        <v/>
      </c>
      <c r="M187" t="s">
        <v>68</v>
      </c>
      <c r="N187" t="str">
        <f t="shared" si="23"/>
        <v>FOR</v>
      </c>
      <c r="O187" t="s">
        <v>69</v>
      </c>
      <c r="P187" t="s">
        <v>75</v>
      </c>
      <c r="Q187">
        <v>2016</v>
      </c>
      <c r="R187" s="4">
        <v>42716</v>
      </c>
      <c r="S187" s="2">
        <v>42718</v>
      </c>
      <c r="T187" s="2">
        <v>42716</v>
      </c>
      <c r="U187" s="4">
        <v>42776</v>
      </c>
      <c r="V187" t="s">
        <v>71</v>
      </c>
      <c r="W187" t="str">
        <f>"           162046251"</f>
        <v xml:space="preserve">           162046251</v>
      </c>
      <c r="X187">
        <v>21.96</v>
      </c>
      <c r="Y187">
        <v>0</v>
      </c>
      <c r="Z187" s="5">
        <v>18</v>
      </c>
      <c r="AA187" s="3">
        <v>21</v>
      </c>
      <c r="AB187" s="3">
        <v>378</v>
      </c>
      <c r="AC187">
        <v>18</v>
      </c>
      <c r="AD187">
        <v>21</v>
      </c>
      <c r="AE187">
        <v>378</v>
      </c>
      <c r="AF187">
        <v>3.96</v>
      </c>
      <c r="AJ187">
        <v>0</v>
      </c>
      <c r="AK187">
        <v>0</v>
      </c>
      <c r="AL187">
        <v>0</v>
      </c>
      <c r="AM187">
        <v>0</v>
      </c>
      <c r="AN187">
        <v>0</v>
      </c>
      <c r="AO187">
        <v>0</v>
      </c>
      <c r="AP187" s="2">
        <v>42831</v>
      </c>
      <c r="AQ187" t="s">
        <v>72</v>
      </c>
      <c r="AR187" t="s">
        <v>72</v>
      </c>
      <c r="AS187">
        <v>721</v>
      </c>
      <c r="AT187" s="4">
        <v>42797</v>
      </c>
      <c r="AU187" t="s">
        <v>73</v>
      </c>
      <c r="AV187">
        <v>721</v>
      </c>
      <c r="AW187" s="4">
        <v>42797</v>
      </c>
      <c r="AY187">
        <v>3.96</v>
      </c>
      <c r="BD187">
        <v>0</v>
      </c>
      <c r="BN187" t="s">
        <v>74</v>
      </c>
    </row>
    <row r="188" spans="1:66">
      <c r="A188">
        <v>100164</v>
      </c>
      <c r="B188" t="s">
        <v>110</v>
      </c>
      <c r="C188" s="1">
        <v>43300101</v>
      </c>
      <c r="D188" t="s">
        <v>67</v>
      </c>
      <c r="H188" t="str">
        <f t="shared" si="24"/>
        <v>00803890151</v>
      </c>
      <c r="I188" t="str">
        <f t="shared" si="24"/>
        <v>00803890151</v>
      </c>
      <c r="K188" t="str">
        <f>""</f>
        <v/>
      </c>
      <c r="M188" t="s">
        <v>68</v>
      </c>
      <c r="N188" t="str">
        <f t="shared" si="23"/>
        <v>FOR</v>
      </c>
      <c r="O188" t="s">
        <v>69</v>
      </c>
      <c r="P188" t="s">
        <v>75</v>
      </c>
      <c r="Q188">
        <v>2016</v>
      </c>
      <c r="R188" s="4">
        <v>42720</v>
      </c>
      <c r="S188" s="2">
        <v>42725</v>
      </c>
      <c r="T188" s="2">
        <v>42720</v>
      </c>
      <c r="U188" s="4">
        <v>42780</v>
      </c>
      <c r="V188" t="s">
        <v>71</v>
      </c>
      <c r="W188" t="str">
        <f>"           162047119"</f>
        <v xml:space="preserve">           162047119</v>
      </c>
      <c r="X188" s="1">
        <v>4026</v>
      </c>
      <c r="Y188">
        <v>0</v>
      </c>
      <c r="Z188" s="5">
        <v>3300</v>
      </c>
      <c r="AA188" s="3">
        <v>17</v>
      </c>
      <c r="AB188" s="5">
        <v>56100</v>
      </c>
      <c r="AC188" s="1">
        <v>3300</v>
      </c>
      <c r="AD188">
        <v>17</v>
      </c>
      <c r="AE188" s="1">
        <v>56100</v>
      </c>
      <c r="AF188">
        <v>726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 s="2">
        <v>42831</v>
      </c>
      <c r="AQ188" t="s">
        <v>72</v>
      </c>
      <c r="AR188" t="s">
        <v>72</v>
      </c>
      <c r="AS188">
        <v>721</v>
      </c>
      <c r="AT188" s="4">
        <v>42797</v>
      </c>
      <c r="AU188" t="s">
        <v>73</v>
      </c>
      <c r="AV188">
        <v>721</v>
      </c>
      <c r="AW188" s="4">
        <v>42797</v>
      </c>
      <c r="AY188">
        <v>726</v>
      </c>
      <c r="BD188">
        <v>0</v>
      </c>
      <c r="BN188" t="s">
        <v>74</v>
      </c>
    </row>
    <row r="189" spans="1:66">
      <c r="A189">
        <v>100164</v>
      </c>
      <c r="B189" t="s">
        <v>110</v>
      </c>
      <c r="C189" s="1">
        <v>43300101</v>
      </c>
      <c r="D189" t="s">
        <v>67</v>
      </c>
      <c r="H189" t="str">
        <f t="shared" si="24"/>
        <v>00803890151</v>
      </c>
      <c r="I189" t="str">
        <f t="shared" si="24"/>
        <v>00803890151</v>
      </c>
      <c r="K189" t="str">
        <f>""</f>
        <v/>
      </c>
      <c r="M189" t="s">
        <v>68</v>
      </c>
      <c r="N189" t="str">
        <f t="shared" si="23"/>
        <v>FOR</v>
      </c>
      <c r="O189" t="s">
        <v>69</v>
      </c>
      <c r="P189" t="s">
        <v>75</v>
      </c>
      <c r="Q189">
        <v>2016</v>
      </c>
      <c r="R189" s="4">
        <v>42720</v>
      </c>
      <c r="S189" s="2">
        <v>42725</v>
      </c>
      <c r="T189" s="2">
        <v>42720</v>
      </c>
      <c r="U189" s="4">
        <v>42780</v>
      </c>
      <c r="V189" t="s">
        <v>71</v>
      </c>
      <c r="W189" t="str">
        <f>"           162047120"</f>
        <v xml:space="preserve">           162047120</v>
      </c>
      <c r="X189">
        <v>366</v>
      </c>
      <c r="Y189">
        <v>0</v>
      </c>
      <c r="Z189" s="5">
        <v>300</v>
      </c>
      <c r="AA189" s="3">
        <v>17</v>
      </c>
      <c r="AB189" s="5">
        <v>5100</v>
      </c>
      <c r="AC189">
        <v>300</v>
      </c>
      <c r="AD189">
        <v>17</v>
      </c>
      <c r="AE189" s="1">
        <v>5100</v>
      </c>
      <c r="AF189">
        <v>66</v>
      </c>
      <c r="AJ189">
        <v>0</v>
      </c>
      <c r="AK189">
        <v>0</v>
      </c>
      <c r="AL189">
        <v>0</v>
      </c>
      <c r="AM189">
        <v>0</v>
      </c>
      <c r="AN189">
        <v>0</v>
      </c>
      <c r="AO189">
        <v>0</v>
      </c>
      <c r="AP189" s="2">
        <v>42831</v>
      </c>
      <c r="AQ189" t="s">
        <v>72</v>
      </c>
      <c r="AR189" t="s">
        <v>72</v>
      </c>
      <c r="AS189">
        <v>721</v>
      </c>
      <c r="AT189" s="4">
        <v>42797</v>
      </c>
      <c r="AU189" t="s">
        <v>73</v>
      </c>
      <c r="AV189">
        <v>721</v>
      </c>
      <c r="AW189" s="4">
        <v>42797</v>
      </c>
      <c r="AY189">
        <v>66</v>
      </c>
      <c r="BD189">
        <v>0</v>
      </c>
      <c r="BN189" t="s">
        <v>74</v>
      </c>
    </row>
    <row r="190" spans="1:66">
      <c r="A190">
        <v>100164</v>
      </c>
      <c r="B190" t="s">
        <v>110</v>
      </c>
      <c r="C190" s="1">
        <v>43300101</v>
      </c>
      <c r="D190" t="s">
        <v>67</v>
      </c>
      <c r="H190" t="str">
        <f t="shared" si="24"/>
        <v>00803890151</v>
      </c>
      <c r="I190" t="str">
        <f t="shared" si="24"/>
        <v>00803890151</v>
      </c>
      <c r="K190" t="str">
        <f>""</f>
        <v/>
      </c>
      <c r="M190" t="s">
        <v>68</v>
      </c>
      <c r="N190" t="str">
        <f t="shared" si="23"/>
        <v>FOR</v>
      </c>
      <c r="O190" t="s">
        <v>69</v>
      </c>
      <c r="P190" t="s">
        <v>75</v>
      </c>
      <c r="Q190">
        <v>2016</v>
      </c>
      <c r="R190" s="4">
        <v>42723</v>
      </c>
      <c r="S190" s="2">
        <v>42725</v>
      </c>
      <c r="T190" s="2">
        <v>42723</v>
      </c>
      <c r="U190" s="4">
        <v>42783</v>
      </c>
      <c r="V190" t="s">
        <v>71</v>
      </c>
      <c r="W190" t="str">
        <f>"           162047333"</f>
        <v xml:space="preserve">           162047333</v>
      </c>
      <c r="X190">
        <v>53.68</v>
      </c>
      <c r="Y190">
        <v>0</v>
      </c>
      <c r="Z190" s="5">
        <v>44</v>
      </c>
      <c r="AA190" s="3">
        <v>14</v>
      </c>
      <c r="AB190" s="3">
        <v>616</v>
      </c>
      <c r="AC190">
        <v>44</v>
      </c>
      <c r="AD190">
        <v>14</v>
      </c>
      <c r="AE190">
        <v>616</v>
      </c>
      <c r="AF190">
        <v>9.68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 s="2">
        <v>42831</v>
      </c>
      <c r="AQ190" t="s">
        <v>72</v>
      </c>
      <c r="AR190" t="s">
        <v>72</v>
      </c>
      <c r="AS190">
        <v>721</v>
      </c>
      <c r="AT190" s="4">
        <v>42797</v>
      </c>
      <c r="AU190" t="s">
        <v>73</v>
      </c>
      <c r="AV190">
        <v>721</v>
      </c>
      <c r="AW190" s="4">
        <v>42797</v>
      </c>
      <c r="AY190">
        <v>9.68</v>
      </c>
      <c r="BD190">
        <v>0</v>
      </c>
      <c r="BN190" t="s">
        <v>74</v>
      </c>
    </row>
    <row r="191" spans="1:66">
      <c r="A191">
        <v>100164</v>
      </c>
      <c r="B191" t="s">
        <v>110</v>
      </c>
      <c r="C191" s="1">
        <v>43300101</v>
      </c>
      <c r="D191" t="s">
        <v>67</v>
      </c>
      <c r="H191" t="str">
        <f t="shared" si="24"/>
        <v>00803890151</v>
      </c>
      <c r="I191" t="str">
        <f t="shared" si="24"/>
        <v>00803890151</v>
      </c>
      <c r="K191" t="str">
        <f>""</f>
        <v/>
      </c>
      <c r="M191" t="s">
        <v>68</v>
      </c>
      <c r="N191" t="str">
        <f t="shared" si="23"/>
        <v>FOR</v>
      </c>
      <c r="O191" t="s">
        <v>69</v>
      </c>
      <c r="P191" t="s">
        <v>75</v>
      </c>
      <c r="Q191">
        <v>2016</v>
      </c>
      <c r="R191" s="4">
        <v>42723</v>
      </c>
      <c r="S191" s="2">
        <v>42725</v>
      </c>
      <c r="T191" s="2">
        <v>42723</v>
      </c>
      <c r="U191" s="4">
        <v>42783</v>
      </c>
      <c r="V191" t="s">
        <v>71</v>
      </c>
      <c r="W191" t="str">
        <f>"           162047376"</f>
        <v xml:space="preserve">           162047376</v>
      </c>
      <c r="X191">
        <v>158.6</v>
      </c>
      <c r="Y191">
        <v>0</v>
      </c>
      <c r="Z191" s="5">
        <v>130</v>
      </c>
      <c r="AA191" s="3">
        <v>14</v>
      </c>
      <c r="AB191" s="5">
        <v>1820</v>
      </c>
      <c r="AC191">
        <v>130</v>
      </c>
      <c r="AD191">
        <v>14</v>
      </c>
      <c r="AE191" s="1">
        <v>1820</v>
      </c>
      <c r="AF191">
        <v>28.6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 s="2">
        <v>42831</v>
      </c>
      <c r="AQ191" t="s">
        <v>72</v>
      </c>
      <c r="AR191" t="s">
        <v>72</v>
      </c>
      <c r="AS191">
        <v>721</v>
      </c>
      <c r="AT191" s="4">
        <v>42797</v>
      </c>
      <c r="AU191" t="s">
        <v>73</v>
      </c>
      <c r="AV191">
        <v>721</v>
      </c>
      <c r="AW191" s="4">
        <v>42797</v>
      </c>
      <c r="AY191">
        <v>28.6</v>
      </c>
      <c r="BD191">
        <v>0</v>
      </c>
      <c r="BN191" t="s">
        <v>74</v>
      </c>
    </row>
    <row r="192" spans="1:66">
      <c r="A192">
        <v>100164</v>
      </c>
      <c r="B192" t="s">
        <v>110</v>
      </c>
      <c r="C192" s="1">
        <v>43300101</v>
      </c>
      <c r="D192" t="s">
        <v>67</v>
      </c>
      <c r="H192" t="str">
        <f t="shared" si="24"/>
        <v>00803890151</v>
      </c>
      <c r="I192" t="str">
        <f t="shared" si="24"/>
        <v>00803890151</v>
      </c>
      <c r="K192" t="str">
        <f>""</f>
        <v/>
      </c>
      <c r="M192" t="s">
        <v>68</v>
      </c>
      <c r="N192" t="str">
        <f t="shared" si="23"/>
        <v>FOR</v>
      </c>
      <c r="O192" t="s">
        <v>69</v>
      </c>
      <c r="P192" t="s">
        <v>75</v>
      </c>
      <c r="Q192">
        <v>2016</v>
      </c>
      <c r="R192" s="4">
        <v>42723</v>
      </c>
      <c r="S192" s="2">
        <v>42725</v>
      </c>
      <c r="T192" s="2">
        <v>42723</v>
      </c>
      <c r="U192" s="4">
        <v>42783</v>
      </c>
      <c r="V192" t="s">
        <v>71</v>
      </c>
      <c r="W192" t="str">
        <f>"           162047377"</f>
        <v xml:space="preserve">           162047377</v>
      </c>
      <c r="X192" s="1">
        <v>1098</v>
      </c>
      <c r="Y192">
        <v>0</v>
      </c>
      <c r="Z192" s="5">
        <v>900</v>
      </c>
      <c r="AA192" s="3">
        <v>14</v>
      </c>
      <c r="AB192" s="5">
        <v>12600</v>
      </c>
      <c r="AC192">
        <v>900</v>
      </c>
      <c r="AD192">
        <v>14</v>
      </c>
      <c r="AE192" s="1">
        <v>12600</v>
      </c>
      <c r="AF192">
        <v>198</v>
      </c>
      <c r="AJ192">
        <v>0</v>
      </c>
      <c r="AK192">
        <v>0</v>
      </c>
      <c r="AL192">
        <v>0</v>
      </c>
      <c r="AM192">
        <v>0</v>
      </c>
      <c r="AN192">
        <v>0</v>
      </c>
      <c r="AO192">
        <v>0</v>
      </c>
      <c r="AP192" s="2">
        <v>42831</v>
      </c>
      <c r="AQ192" t="s">
        <v>72</v>
      </c>
      <c r="AR192" t="s">
        <v>72</v>
      </c>
      <c r="AS192">
        <v>721</v>
      </c>
      <c r="AT192" s="4">
        <v>42797</v>
      </c>
      <c r="AU192" t="s">
        <v>73</v>
      </c>
      <c r="AV192">
        <v>721</v>
      </c>
      <c r="AW192" s="4">
        <v>42797</v>
      </c>
      <c r="AY192">
        <v>198</v>
      </c>
      <c r="BD192">
        <v>0</v>
      </c>
      <c r="BN192" t="s">
        <v>74</v>
      </c>
    </row>
    <row r="193" spans="1:66">
      <c r="A193">
        <v>100164</v>
      </c>
      <c r="B193" t="s">
        <v>110</v>
      </c>
      <c r="C193" s="1">
        <v>43300101</v>
      </c>
      <c r="D193" t="s">
        <v>67</v>
      </c>
      <c r="H193" t="str">
        <f t="shared" si="24"/>
        <v>00803890151</v>
      </c>
      <c r="I193" t="str">
        <f t="shared" si="24"/>
        <v>00803890151</v>
      </c>
      <c r="K193" t="str">
        <f>""</f>
        <v/>
      </c>
      <c r="M193" t="s">
        <v>68</v>
      </c>
      <c r="N193" t="str">
        <f t="shared" si="23"/>
        <v>FOR</v>
      </c>
      <c r="O193" t="s">
        <v>69</v>
      </c>
      <c r="P193" t="s">
        <v>75</v>
      </c>
      <c r="Q193">
        <v>2016</v>
      </c>
      <c r="R193" s="4">
        <v>42732</v>
      </c>
      <c r="S193" s="2">
        <v>42733</v>
      </c>
      <c r="T193" s="2">
        <v>42732</v>
      </c>
      <c r="U193" s="4">
        <v>42792</v>
      </c>
      <c r="V193" t="s">
        <v>71</v>
      </c>
      <c r="W193" t="str">
        <f>"           162048275"</f>
        <v xml:space="preserve">           162048275</v>
      </c>
      <c r="X193" s="1">
        <v>1830</v>
      </c>
      <c r="Y193">
        <v>0</v>
      </c>
      <c r="Z193" s="5">
        <v>1500</v>
      </c>
      <c r="AA193" s="3">
        <v>5</v>
      </c>
      <c r="AB193" s="5">
        <v>7500</v>
      </c>
      <c r="AC193" s="1">
        <v>1500</v>
      </c>
      <c r="AD193">
        <v>5</v>
      </c>
      <c r="AE193" s="1">
        <v>7500</v>
      </c>
      <c r="AF193">
        <v>330</v>
      </c>
      <c r="AJ193">
        <v>0</v>
      </c>
      <c r="AK193">
        <v>0</v>
      </c>
      <c r="AL193">
        <v>0</v>
      </c>
      <c r="AM193">
        <v>0</v>
      </c>
      <c r="AN193">
        <v>0</v>
      </c>
      <c r="AO193">
        <v>0</v>
      </c>
      <c r="AP193" s="2">
        <v>42831</v>
      </c>
      <c r="AQ193" t="s">
        <v>72</v>
      </c>
      <c r="AR193" t="s">
        <v>72</v>
      </c>
      <c r="AS193">
        <v>721</v>
      </c>
      <c r="AT193" s="4">
        <v>42797</v>
      </c>
      <c r="AU193" t="s">
        <v>73</v>
      </c>
      <c r="AV193">
        <v>721</v>
      </c>
      <c r="AW193" s="4">
        <v>42797</v>
      </c>
      <c r="AY193">
        <v>330</v>
      </c>
      <c r="BD193">
        <v>0</v>
      </c>
      <c r="BN193" t="s">
        <v>74</v>
      </c>
    </row>
    <row r="194" spans="1:66">
      <c r="A194">
        <v>100187</v>
      </c>
      <c r="B194" t="s">
        <v>111</v>
      </c>
      <c r="C194" s="1">
        <v>43300101</v>
      </c>
      <c r="D194" t="s">
        <v>67</v>
      </c>
      <c r="H194" t="str">
        <f>"00970310397"</f>
        <v>00970310397</v>
      </c>
      <c r="I194" t="str">
        <f>"00970310397"</f>
        <v>00970310397</v>
      </c>
      <c r="K194" t="str">
        <f>""</f>
        <v/>
      </c>
      <c r="M194" t="s">
        <v>68</v>
      </c>
      <c r="N194" t="str">
        <f t="shared" si="23"/>
        <v>FOR</v>
      </c>
      <c r="O194" t="s">
        <v>69</v>
      </c>
      <c r="P194" t="s">
        <v>75</v>
      </c>
      <c r="Q194">
        <v>2016</v>
      </c>
      <c r="R194" s="4">
        <v>42725</v>
      </c>
      <c r="S194" s="2">
        <v>42735</v>
      </c>
      <c r="T194" s="2">
        <v>42734</v>
      </c>
      <c r="U194" s="4">
        <v>42794</v>
      </c>
      <c r="V194" t="s">
        <v>71</v>
      </c>
      <c r="W194" t="str">
        <f>"          16VS000687"</f>
        <v xml:space="preserve">          16VS000687</v>
      </c>
      <c r="X194" s="1">
        <v>2397.3000000000002</v>
      </c>
      <c r="Y194">
        <v>0</v>
      </c>
      <c r="Z194" s="5">
        <v>1965</v>
      </c>
      <c r="AA194" s="3">
        <v>-20</v>
      </c>
      <c r="AB194" s="5">
        <v>-39300</v>
      </c>
      <c r="AC194" s="1">
        <v>1965</v>
      </c>
      <c r="AD194">
        <v>-20</v>
      </c>
      <c r="AE194" s="1">
        <v>-39300</v>
      </c>
      <c r="AF194">
        <v>0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 s="2">
        <v>42831</v>
      </c>
      <c r="AQ194" t="s">
        <v>72</v>
      </c>
      <c r="AR194" t="s">
        <v>72</v>
      </c>
      <c r="AS194">
        <v>328</v>
      </c>
      <c r="AT194" s="4">
        <v>42774</v>
      </c>
      <c r="AV194">
        <v>328</v>
      </c>
      <c r="AW194" s="4">
        <v>42774</v>
      </c>
      <c r="BD194">
        <v>0</v>
      </c>
      <c r="BN194" t="s">
        <v>74</v>
      </c>
    </row>
    <row r="195" spans="1:66">
      <c r="A195">
        <v>100202</v>
      </c>
      <c r="B195" t="s">
        <v>112</v>
      </c>
      <c r="C195" s="1">
        <v>43300101</v>
      </c>
      <c r="D195" t="s">
        <v>67</v>
      </c>
      <c r="H195" t="str">
        <f t="shared" ref="H195:I197" si="25">"07022780634"</f>
        <v>07022780634</v>
      </c>
      <c r="I195" t="str">
        <f t="shared" si="25"/>
        <v>07022780634</v>
      </c>
      <c r="K195" t="str">
        <f>""</f>
        <v/>
      </c>
      <c r="M195" t="s">
        <v>68</v>
      </c>
      <c r="N195" t="str">
        <f t="shared" si="23"/>
        <v>FOR</v>
      </c>
      <c r="O195" t="s">
        <v>69</v>
      </c>
      <c r="P195" t="s">
        <v>75</v>
      </c>
      <c r="Q195">
        <v>2016</v>
      </c>
      <c r="R195" s="4">
        <v>42459</v>
      </c>
      <c r="S195" s="2">
        <v>42464</v>
      </c>
      <c r="T195" s="2">
        <v>42459</v>
      </c>
      <c r="U195" s="4">
        <v>42519</v>
      </c>
      <c r="V195" t="s">
        <v>71</v>
      </c>
      <c r="W195" t="str">
        <f>"                2/16"</f>
        <v xml:space="preserve">                2/16</v>
      </c>
      <c r="X195">
        <v>390.4</v>
      </c>
      <c r="Y195">
        <v>0</v>
      </c>
      <c r="Z195" s="5">
        <v>320</v>
      </c>
      <c r="AA195" s="3">
        <v>249</v>
      </c>
      <c r="AB195" s="5">
        <v>79680</v>
      </c>
      <c r="AC195">
        <v>320</v>
      </c>
      <c r="AD195">
        <v>249</v>
      </c>
      <c r="AE195" s="1">
        <v>79680</v>
      </c>
      <c r="AF195">
        <v>0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 s="2">
        <v>42831</v>
      </c>
      <c r="AQ195" t="s">
        <v>72</v>
      </c>
      <c r="AR195" t="s">
        <v>72</v>
      </c>
      <c r="AS195">
        <v>210</v>
      </c>
      <c r="AT195" s="4">
        <v>42768</v>
      </c>
      <c r="AU195" t="s">
        <v>73</v>
      </c>
      <c r="AV195">
        <v>210</v>
      </c>
      <c r="AW195" s="4">
        <v>42768</v>
      </c>
      <c r="BD195">
        <v>0</v>
      </c>
      <c r="BN195" t="s">
        <v>74</v>
      </c>
    </row>
    <row r="196" spans="1:66">
      <c r="A196">
        <v>100202</v>
      </c>
      <c r="B196" t="s">
        <v>112</v>
      </c>
      <c r="C196" s="1">
        <v>43300101</v>
      </c>
      <c r="D196" t="s">
        <v>67</v>
      </c>
      <c r="H196" t="str">
        <f t="shared" si="25"/>
        <v>07022780634</v>
      </c>
      <c r="I196" t="str">
        <f t="shared" si="25"/>
        <v>07022780634</v>
      </c>
      <c r="K196" t="str">
        <f>""</f>
        <v/>
      </c>
      <c r="M196" t="s">
        <v>68</v>
      </c>
      <c r="N196" t="str">
        <f t="shared" si="23"/>
        <v>FOR</v>
      </c>
      <c r="O196" t="s">
        <v>69</v>
      </c>
      <c r="P196" t="s">
        <v>75</v>
      </c>
      <c r="Q196">
        <v>2016</v>
      </c>
      <c r="R196" s="4">
        <v>42521</v>
      </c>
      <c r="S196" s="2">
        <v>42522</v>
      </c>
      <c r="T196" s="2">
        <v>42521</v>
      </c>
      <c r="U196" s="4">
        <v>42581</v>
      </c>
      <c r="V196" t="s">
        <v>71</v>
      </c>
      <c r="W196" t="str">
        <f>"                2/40"</f>
        <v xml:space="preserve">                2/40</v>
      </c>
      <c r="X196">
        <v>585.6</v>
      </c>
      <c r="Y196">
        <v>0</v>
      </c>
      <c r="Z196" s="5">
        <v>480</v>
      </c>
      <c r="AA196" s="3">
        <v>187</v>
      </c>
      <c r="AB196" s="5">
        <v>89760</v>
      </c>
      <c r="AC196">
        <v>480</v>
      </c>
      <c r="AD196">
        <v>187</v>
      </c>
      <c r="AE196" s="1">
        <v>89760</v>
      </c>
      <c r="AF196">
        <v>0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 s="2">
        <v>42831</v>
      </c>
      <c r="AQ196" t="s">
        <v>72</v>
      </c>
      <c r="AR196" t="s">
        <v>72</v>
      </c>
      <c r="AS196">
        <v>210</v>
      </c>
      <c r="AT196" s="4">
        <v>42768</v>
      </c>
      <c r="AU196" t="s">
        <v>73</v>
      </c>
      <c r="AV196">
        <v>210</v>
      </c>
      <c r="AW196" s="4">
        <v>42768</v>
      </c>
      <c r="BD196">
        <v>0</v>
      </c>
      <c r="BN196" t="s">
        <v>74</v>
      </c>
    </row>
    <row r="197" spans="1:66">
      <c r="A197">
        <v>100202</v>
      </c>
      <c r="B197" t="s">
        <v>112</v>
      </c>
      <c r="C197" s="1">
        <v>43300101</v>
      </c>
      <c r="D197" t="s">
        <v>67</v>
      </c>
      <c r="H197" t="str">
        <f t="shared" si="25"/>
        <v>07022780634</v>
      </c>
      <c r="I197" t="str">
        <f t="shared" si="25"/>
        <v>07022780634</v>
      </c>
      <c r="K197" t="str">
        <f>""</f>
        <v/>
      </c>
      <c r="M197" t="s">
        <v>68</v>
      </c>
      <c r="N197" t="str">
        <f t="shared" si="23"/>
        <v>FOR</v>
      </c>
      <c r="O197" t="s">
        <v>69</v>
      </c>
      <c r="P197" t="s">
        <v>75</v>
      </c>
      <c r="Q197">
        <v>2016</v>
      </c>
      <c r="R197" s="4">
        <v>42580</v>
      </c>
      <c r="S197" s="2">
        <v>42584</v>
      </c>
      <c r="T197" s="2">
        <v>42580</v>
      </c>
      <c r="U197" s="4">
        <v>42640</v>
      </c>
      <c r="V197" t="s">
        <v>71</v>
      </c>
      <c r="W197" t="str">
        <f>"                2/56"</f>
        <v xml:space="preserve">                2/56</v>
      </c>
      <c r="X197">
        <v>780.8</v>
      </c>
      <c r="Y197">
        <v>0</v>
      </c>
      <c r="Z197" s="5">
        <v>640</v>
      </c>
      <c r="AA197" s="3">
        <v>128</v>
      </c>
      <c r="AB197" s="5">
        <v>81920</v>
      </c>
      <c r="AC197">
        <v>640</v>
      </c>
      <c r="AD197">
        <v>128</v>
      </c>
      <c r="AE197" s="1">
        <v>81920</v>
      </c>
      <c r="AF197">
        <v>0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 s="2">
        <v>42831</v>
      </c>
      <c r="AQ197" t="s">
        <v>72</v>
      </c>
      <c r="AR197" t="s">
        <v>72</v>
      </c>
      <c r="AS197">
        <v>210</v>
      </c>
      <c r="AT197" s="4">
        <v>42768</v>
      </c>
      <c r="AU197" t="s">
        <v>73</v>
      </c>
      <c r="AV197">
        <v>210</v>
      </c>
      <c r="AW197" s="4">
        <v>42768</v>
      </c>
      <c r="BD197">
        <v>0</v>
      </c>
      <c r="BN197" t="s">
        <v>74</v>
      </c>
    </row>
    <row r="198" spans="1:66">
      <c r="A198">
        <v>100210</v>
      </c>
      <c r="B198" t="s">
        <v>113</v>
      </c>
      <c r="C198" s="1">
        <v>43300101</v>
      </c>
      <c r="D198" t="s">
        <v>67</v>
      </c>
      <c r="H198" t="str">
        <f t="shared" ref="H198:I217" si="26">"08082461008"</f>
        <v>08082461008</v>
      </c>
      <c r="I198" t="str">
        <f t="shared" si="26"/>
        <v>08082461008</v>
      </c>
      <c r="K198" t="str">
        <f>""</f>
        <v/>
      </c>
      <c r="M198" t="s">
        <v>68</v>
      </c>
      <c r="N198" t="str">
        <f t="shared" ref="N198:N229" si="27">"FOR"</f>
        <v>FOR</v>
      </c>
      <c r="O198" t="s">
        <v>69</v>
      </c>
      <c r="P198" t="s">
        <v>70</v>
      </c>
      <c r="Q198">
        <v>2015</v>
      </c>
      <c r="R198" s="4">
        <v>42146</v>
      </c>
      <c r="S198" s="2">
        <v>42689</v>
      </c>
      <c r="T198" s="2">
        <v>42689</v>
      </c>
      <c r="U198" s="4">
        <v>42749</v>
      </c>
      <c r="V198" t="s">
        <v>71</v>
      </c>
      <c r="W198" t="str">
        <f>"            15082732"</f>
        <v xml:space="preserve">            15082732</v>
      </c>
      <c r="X198">
        <v>975.02</v>
      </c>
      <c r="Y198">
        <v>0</v>
      </c>
      <c r="Z198" s="5">
        <v>799.2</v>
      </c>
      <c r="AA198" s="3">
        <v>17</v>
      </c>
      <c r="AB198" s="5">
        <v>13586.4</v>
      </c>
      <c r="AC198">
        <v>799.2</v>
      </c>
      <c r="AD198">
        <v>17</v>
      </c>
      <c r="AE198" s="1">
        <v>13586.4</v>
      </c>
      <c r="AF198">
        <v>0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 s="2">
        <v>42831</v>
      </c>
      <c r="AQ198" t="s">
        <v>72</v>
      </c>
      <c r="AR198" t="s">
        <v>72</v>
      </c>
      <c r="AS198">
        <v>172</v>
      </c>
      <c r="AT198" s="4">
        <v>42766</v>
      </c>
      <c r="AU198" t="s">
        <v>73</v>
      </c>
      <c r="AV198">
        <v>172</v>
      </c>
      <c r="AW198" s="4">
        <v>42766</v>
      </c>
      <c r="BD198">
        <v>0</v>
      </c>
      <c r="BN198" t="s">
        <v>74</v>
      </c>
    </row>
    <row r="199" spans="1:66">
      <c r="A199">
        <v>100210</v>
      </c>
      <c r="B199" t="s">
        <v>113</v>
      </c>
      <c r="C199" s="1">
        <v>43300101</v>
      </c>
      <c r="D199" t="s">
        <v>67</v>
      </c>
      <c r="H199" t="str">
        <f t="shared" si="26"/>
        <v>08082461008</v>
      </c>
      <c r="I199" t="str">
        <f t="shared" si="26"/>
        <v>08082461008</v>
      </c>
      <c r="K199" t="str">
        <f>""</f>
        <v/>
      </c>
      <c r="M199" t="s">
        <v>68</v>
      </c>
      <c r="N199" t="str">
        <f t="shared" si="27"/>
        <v>FOR</v>
      </c>
      <c r="O199" t="s">
        <v>69</v>
      </c>
      <c r="P199" t="s">
        <v>75</v>
      </c>
      <c r="Q199">
        <v>2016</v>
      </c>
      <c r="R199" s="4">
        <v>42461</v>
      </c>
      <c r="S199" s="2">
        <v>42464</v>
      </c>
      <c r="T199" s="2">
        <v>42461</v>
      </c>
      <c r="U199" s="4">
        <v>42521</v>
      </c>
      <c r="V199" t="s">
        <v>71</v>
      </c>
      <c r="W199" t="str">
        <f>"            16048710"</f>
        <v xml:space="preserve">            16048710</v>
      </c>
      <c r="X199">
        <v>194.48</v>
      </c>
      <c r="Y199">
        <v>0</v>
      </c>
      <c r="Z199" s="5">
        <v>187</v>
      </c>
      <c r="AA199" s="3">
        <v>253</v>
      </c>
      <c r="AB199" s="5">
        <v>47311</v>
      </c>
      <c r="AC199">
        <v>187</v>
      </c>
      <c r="AD199">
        <v>253</v>
      </c>
      <c r="AE199" s="1">
        <v>47311</v>
      </c>
      <c r="AF199">
        <v>0</v>
      </c>
      <c r="AJ199">
        <v>0</v>
      </c>
      <c r="AK199">
        <v>0</v>
      </c>
      <c r="AL199">
        <v>0</v>
      </c>
      <c r="AM199">
        <v>0</v>
      </c>
      <c r="AN199">
        <v>0</v>
      </c>
      <c r="AO199">
        <v>0</v>
      </c>
      <c r="AP199" s="2">
        <v>42831</v>
      </c>
      <c r="AQ199" t="s">
        <v>72</v>
      </c>
      <c r="AR199" t="s">
        <v>72</v>
      </c>
      <c r="AS199">
        <v>356</v>
      </c>
      <c r="AT199" s="4">
        <v>42774</v>
      </c>
      <c r="AU199" t="s">
        <v>73</v>
      </c>
      <c r="AV199">
        <v>356</v>
      </c>
      <c r="AW199" s="4">
        <v>42774</v>
      </c>
      <c r="BD199">
        <v>0</v>
      </c>
      <c r="BN199" t="s">
        <v>74</v>
      </c>
    </row>
    <row r="200" spans="1:66">
      <c r="A200">
        <v>100210</v>
      </c>
      <c r="B200" t="s">
        <v>113</v>
      </c>
      <c r="C200" s="1">
        <v>43300101</v>
      </c>
      <c r="D200" t="s">
        <v>67</v>
      </c>
      <c r="H200" t="str">
        <f t="shared" si="26"/>
        <v>08082461008</v>
      </c>
      <c r="I200" t="str">
        <f t="shared" si="26"/>
        <v>08082461008</v>
      </c>
      <c r="K200" t="str">
        <f>""</f>
        <v/>
      </c>
      <c r="M200" t="s">
        <v>68</v>
      </c>
      <c r="N200" t="str">
        <f t="shared" si="27"/>
        <v>FOR</v>
      </c>
      <c r="O200" t="s">
        <v>69</v>
      </c>
      <c r="P200" t="s">
        <v>75</v>
      </c>
      <c r="Q200">
        <v>2016</v>
      </c>
      <c r="R200" s="4">
        <v>42461</v>
      </c>
      <c r="S200" s="2">
        <v>42464</v>
      </c>
      <c r="T200" s="2">
        <v>42461</v>
      </c>
      <c r="U200" s="4">
        <v>42521</v>
      </c>
      <c r="V200" t="s">
        <v>71</v>
      </c>
      <c r="W200" t="str">
        <f>"            16048712"</f>
        <v xml:space="preserve">            16048712</v>
      </c>
      <c r="X200">
        <v>45.76</v>
      </c>
      <c r="Y200">
        <v>0</v>
      </c>
      <c r="Z200" s="5">
        <v>44</v>
      </c>
      <c r="AA200" s="3">
        <v>253</v>
      </c>
      <c r="AB200" s="5">
        <v>11132</v>
      </c>
      <c r="AC200">
        <v>44</v>
      </c>
      <c r="AD200">
        <v>253</v>
      </c>
      <c r="AE200" s="1">
        <v>11132</v>
      </c>
      <c r="AF200">
        <v>0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 s="2">
        <v>42831</v>
      </c>
      <c r="AQ200" t="s">
        <v>72</v>
      </c>
      <c r="AR200" t="s">
        <v>72</v>
      </c>
      <c r="AS200">
        <v>356</v>
      </c>
      <c r="AT200" s="4">
        <v>42774</v>
      </c>
      <c r="AU200" t="s">
        <v>73</v>
      </c>
      <c r="AV200">
        <v>356</v>
      </c>
      <c r="AW200" s="4">
        <v>42774</v>
      </c>
      <c r="BD200">
        <v>0</v>
      </c>
      <c r="BN200" t="s">
        <v>74</v>
      </c>
    </row>
    <row r="201" spans="1:66">
      <c r="A201">
        <v>100210</v>
      </c>
      <c r="B201" t="s">
        <v>113</v>
      </c>
      <c r="C201" s="1">
        <v>43300101</v>
      </c>
      <c r="D201" t="s">
        <v>67</v>
      </c>
      <c r="H201" t="str">
        <f t="shared" si="26"/>
        <v>08082461008</v>
      </c>
      <c r="I201" t="str">
        <f t="shared" si="26"/>
        <v>08082461008</v>
      </c>
      <c r="K201" t="str">
        <f>""</f>
        <v/>
      </c>
      <c r="M201" t="s">
        <v>68</v>
      </c>
      <c r="N201" t="str">
        <f t="shared" si="27"/>
        <v>FOR</v>
      </c>
      <c r="O201" t="s">
        <v>69</v>
      </c>
      <c r="P201" t="s">
        <v>75</v>
      </c>
      <c r="Q201">
        <v>2016</v>
      </c>
      <c r="R201" s="4">
        <v>42461</v>
      </c>
      <c r="S201" s="2">
        <v>42464</v>
      </c>
      <c r="T201" s="2">
        <v>42461</v>
      </c>
      <c r="U201" s="4">
        <v>42521</v>
      </c>
      <c r="V201" t="s">
        <v>71</v>
      </c>
      <c r="W201" t="str">
        <f>"            16048716"</f>
        <v xml:space="preserve">            16048716</v>
      </c>
      <c r="X201">
        <v>45.76</v>
      </c>
      <c r="Y201">
        <v>0</v>
      </c>
      <c r="Z201" s="5">
        <v>44</v>
      </c>
      <c r="AA201" s="3">
        <v>253</v>
      </c>
      <c r="AB201" s="5">
        <v>11132</v>
      </c>
      <c r="AC201">
        <v>44</v>
      </c>
      <c r="AD201">
        <v>253</v>
      </c>
      <c r="AE201" s="1">
        <v>11132</v>
      </c>
      <c r="AF201">
        <v>0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 s="2">
        <v>42831</v>
      </c>
      <c r="AQ201" t="s">
        <v>72</v>
      </c>
      <c r="AR201" t="s">
        <v>72</v>
      </c>
      <c r="AS201">
        <v>356</v>
      </c>
      <c r="AT201" s="4">
        <v>42774</v>
      </c>
      <c r="AU201" t="s">
        <v>73</v>
      </c>
      <c r="AV201">
        <v>356</v>
      </c>
      <c r="AW201" s="4">
        <v>42774</v>
      </c>
      <c r="BD201">
        <v>0</v>
      </c>
      <c r="BN201" t="s">
        <v>74</v>
      </c>
    </row>
    <row r="202" spans="1:66">
      <c r="A202">
        <v>100210</v>
      </c>
      <c r="B202" t="s">
        <v>113</v>
      </c>
      <c r="C202" s="1">
        <v>43300101</v>
      </c>
      <c r="D202" t="s">
        <v>67</v>
      </c>
      <c r="H202" t="str">
        <f t="shared" si="26"/>
        <v>08082461008</v>
      </c>
      <c r="I202" t="str">
        <f t="shared" si="26"/>
        <v>08082461008</v>
      </c>
      <c r="K202" t="str">
        <f>""</f>
        <v/>
      </c>
      <c r="M202" t="s">
        <v>68</v>
      </c>
      <c r="N202" t="str">
        <f t="shared" si="27"/>
        <v>FOR</v>
      </c>
      <c r="O202" t="s">
        <v>69</v>
      </c>
      <c r="P202" t="s">
        <v>75</v>
      </c>
      <c r="Q202">
        <v>2016</v>
      </c>
      <c r="R202" s="4">
        <v>42461</v>
      </c>
      <c r="S202" s="2">
        <v>42464</v>
      </c>
      <c r="T202" s="2">
        <v>42461</v>
      </c>
      <c r="U202" s="4">
        <v>42521</v>
      </c>
      <c r="V202" t="s">
        <v>71</v>
      </c>
      <c r="W202" t="str">
        <f>"            16048718"</f>
        <v xml:space="preserve">            16048718</v>
      </c>
      <c r="X202">
        <v>45.76</v>
      </c>
      <c r="Y202">
        <v>0</v>
      </c>
      <c r="Z202" s="5">
        <v>44</v>
      </c>
      <c r="AA202" s="3">
        <v>253</v>
      </c>
      <c r="AB202" s="5">
        <v>11132</v>
      </c>
      <c r="AC202">
        <v>44</v>
      </c>
      <c r="AD202">
        <v>253</v>
      </c>
      <c r="AE202" s="1">
        <v>11132</v>
      </c>
      <c r="AF202">
        <v>0</v>
      </c>
      <c r="AJ202">
        <v>0</v>
      </c>
      <c r="AK202">
        <v>0</v>
      </c>
      <c r="AL202">
        <v>0</v>
      </c>
      <c r="AM202">
        <v>0</v>
      </c>
      <c r="AN202">
        <v>0</v>
      </c>
      <c r="AO202">
        <v>0</v>
      </c>
      <c r="AP202" s="2">
        <v>42831</v>
      </c>
      <c r="AQ202" t="s">
        <v>72</v>
      </c>
      <c r="AR202" t="s">
        <v>72</v>
      </c>
      <c r="AS202">
        <v>356</v>
      </c>
      <c r="AT202" s="4">
        <v>42774</v>
      </c>
      <c r="AU202" t="s">
        <v>73</v>
      </c>
      <c r="AV202">
        <v>356</v>
      </c>
      <c r="AW202" s="4">
        <v>42774</v>
      </c>
      <c r="BD202">
        <v>0</v>
      </c>
      <c r="BN202" t="s">
        <v>74</v>
      </c>
    </row>
    <row r="203" spans="1:66">
      <c r="A203">
        <v>100210</v>
      </c>
      <c r="B203" t="s">
        <v>113</v>
      </c>
      <c r="C203" s="1">
        <v>43300101</v>
      </c>
      <c r="D203" t="s">
        <v>67</v>
      </c>
      <c r="H203" t="str">
        <f t="shared" si="26"/>
        <v>08082461008</v>
      </c>
      <c r="I203" t="str">
        <f t="shared" si="26"/>
        <v>08082461008</v>
      </c>
      <c r="K203" t="str">
        <f>""</f>
        <v/>
      </c>
      <c r="M203" t="s">
        <v>68</v>
      </c>
      <c r="N203" t="str">
        <f t="shared" si="27"/>
        <v>FOR</v>
      </c>
      <c r="O203" t="s">
        <v>69</v>
      </c>
      <c r="P203" t="s">
        <v>75</v>
      </c>
      <c r="Q203">
        <v>2016</v>
      </c>
      <c r="R203" s="4">
        <v>42461</v>
      </c>
      <c r="S203" s="2">
        <v>42464</v>
      </c>
      <c r="T203" s="2">
        <v>42464</v>
      </c>
      <c r="U203" s="4">
        <v>42524</v>
      </c>
      <c r="V203" t="s">
        <v>71</v>
      </c>
      <c r="W203" t="str">
        <f>"            16048719"</f>
        <v xml:space="preserve">            16048719</v>
      </c>
      <c r="X203">
        <v>45.76</v>
      </c>
      <c r="Y203">
        <v>0</v>
      </c>
      <c r="Z203" s="5">
        <v>44</v>
      </c>
      <c r="AA203" s="3">
        <v>250</v>
      </c>
      <c r="AB203" s="5">
        <v>11000</v>
      </c>
      <c r="AC203">
        <v>44</v>
      </c>
      <c r="AD203">
        <v>250</v>
      </c>
      <c r="AE203" s="1">
        <v>11000</v>
      </c>
      <c r="AF203">
        <v>0</v>
      </c>
      <c r="AJ203">
        <v>0</v>
      </c>
      <c r="AK203">
        <v>0</v>
      </c>
      <c r="AL203">
        <v>0</v>
      </c>
      <c r="AM203">
        <v>0</v>
      </c>
      <c r="AN203">
        <v>0</v>
      </c>
      <c r="AO203">
        <v>0</v>
      </c>
      <c r="AP203" s="2">
        <v>42831</v>
      </c>
      <c r="AQ203" t="s">
        <v>72</v>
      </c>
      <c r="AR203" t="s">
        <v>72</v>
      </c>
      <c r="AS203">
        <v>356</v>
      </c>
      <c r="AT203" s="4">
        <v>42774</v>
      </c>
      <c r="AU203" t="s">
        <v>73</v>
      </c>
      <c r="AV203">
        <v>356</v>
      </c>
      <c r="AW203" s="4">
        <v>42774</v>
      </c>
      <c r="BD203">
        <v>0</v>
      </c>
      <c r="BN203" t="s">
        <v>74</v>
      </c>
    </row>
    <row r="204" spans="1:66">
      <c r="A204">
        <v>100210</v>
      </c>
      <c r="B204" t="s">
        <v>113</v>
      </c>
      <c r="C204" s="1">
        <v>43300101</v>
      </c>
      <c r="D204" t="s">
        <v>67</v>
      </c>
      <c r="H204" t="str">
        <f t="shared" si="26"/>
        <v>08082461008</v>
      </c>
      <c r="I204" t="str">
        <f t="shared" si="26"/>
        <v>08082461008</v>
      </c>
      <c r="K204" t="str">
        <f>""</f>
        <v/>
      </c>
      <c r="M204" t="s">
        <v>68</v>
      </c>
      <c r="N204" t="str">
        <f t="shared" si="27"/>
        <v>FOR</v>
      </c>
      <c r="O204" t="s">
        <v>69</v>
      </c>
      <c r="P204" t="s">
        <v>75</v>
      </c>
      <c r="Q204">
        <v>2016</v>
      </c>
      <c r="R204" s="4">
        <v>42461</v>
      </c>
      <c r="S204" s="2">
        <v>42464</v>
      </c>
      <c r="T204" s="2">
        <v>42461</v>
      </c>
      <c r="U204" s="4">
        <v>42521</v>
      </c>
      <c r="V204" t="s">
        <v>71</v>
      </c>
      <c r="W204" t="str">
        <f>"            16048726"</f>
        <v xml:space="preserve">            16048726</v>
      </c>
      <c r="X204">
        <v>45.76</v>
      </c>
      <c r="Y204">
        <v>0</v>
      </c>
      <c r="Z204" s="5">
        <v>44</v>
      </c>
      <c r="AA204" s="3">
        <v>253</v>
      </c>
      <c r="AB204" s="5">
        <v>11132</v>
      </c>
      <c r="AC204">
        <v>44</v>
      </c>
      <c r="AD204">
        <v>253</v>
      </c>
      <c r="AE204" s="1">
        <v>11132</v>
      </c>
      <c r="AF204">
        <v>0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 s="2">
        <v>42831</v>
      </c>
      <c r="AQ204" t="s">
        <v>72</v>
      </c>
      <c r="AR204" t="s">
        <v>72</v>
      </c>
      <c r="AS204">
        <v>356</v>
      </c>
      <c r="AT204" s="4">
        <v>42774</v>
      </c>
      <c r="AU204" t="s">
        <v>73</v>
      </c>
      <c r="AV204">
        <v>356</v>
      </c>
      <c r="AW204" s="4">
        <v>42774</v>
      </c>
      <c r="BD204">
        <v>0</v>
      </c>
      <c r="BN204" t="s">
        <v>74</v>
      </c>
    </row>
    <row r="205" spans="1:66">
      <c r="A205">
        <v>100210</v>
      </c>
      <c r="B205" t="s">
        <v>113</v>
      </c>
      <c r="C205" s="1">
        <v>43300101</v>
      </c>
      <c r="D205" t="s">
        <v>67</v>
      </c>
      <c r="H205" t="str">
        <f t="shared" si="26"/>
        <v>08082461008</v>
      </c>
      <c r="I205" t="str">
        <f t="shared" si="26"/>
        <v>08082461008</v>
      </c>
      <c r="K205" t="str">
        <f>""</f>
        <v/>
      </c>
      <c r="M205" t="s">
        <v>68</v>
      </c>
      <c r="N205" t="str">
        <f t="shared" si="27"/>
        <v>FOR</v>
      </c>
      <c r="O205" t="s">
        <v>69</v>
      </c>
      <c r="P205" t="s">
        <v>75</v>
      </c>
      <c r="Q205">
        <v>2016</v>
      </c>
      <c r="R205" s="4">
        <v>42461</v>
      </c>
      <c r="S205" s="2">
        <v>42464</v>
      </c>
      <c r="T205" s="2">
        <v>42461</v>
      </c>
      <c r="U205" s="4">
        <v>42521</v>
      </c>
      <c r="V205" t="s">
        <v>71</v>
      </c>
      <c r="W205" t="str">
        <f>"            16048728"</f>
        <v xml:space="preserve">            16048728</v>
      </c>
      <c r="X205">
        <v>45.76</v>
      </c>
      <c r="Y205">
        <v>0</v>
      </c>
      <c r="Z205" s="5">
        <v>44</v>
      </c>
      <c r="AA205" s="3">
        <v>253</v>
      </c>
      <c r="AB205" s="5">
        <v>11132</v>
      </c>
      <c r="AC205">
        <v>44</v>
      </c>
      <c r="AD205">
        <v>253</v>
      </c>
      <c r="AE205" s="1">
        <v>11132</v>
      </c>
      <c r="AF205">
        <v>0</v>
      </c>
      <c r="AJ205">
        <v>0</v>
      </c>
      <c r="AK205">
        <v>0</v>
      </c>
      <c r="AL205">
        <v>0</v>
      </c>
      <c r="AM205">
        <v>0</v>
      </c>
      <c r="AN205">
        <v>0</v>
      </c>
      <c r="AO205">
        <v>0</v>
      </c>
      <c r="AP205" s="2">
        <v>42831</v>
      </c>
      <c r="AQ205" t="s">
        <v>72</v>
      </c>
      <c r="AR205" t="s">
        <v>72</v>
      </c>
      <c r="AS205">
        <v>356</v>
      </c>
      <c r="AT205" s="4">
        <v>42774</v>
      </c>
      <c r="AU205" t="s">
        <v>73</v>
      </c>
      <c r="AV205">
        <v>356</v>
      </c>
      <c r="AW205" s="4">
        <v>42774</v>
      </c>
      <c r="BD205">
        <v>0</v>
      </c>
      <c r="BN205" t="s">
        <v>74</v>
      </c>
    </row>
    <row r="206" spans="1:66">
      <c r="A206">
        <v>100210</v>
      </c>
      <c r="B206" t="s">
        <v>113</v>
      </c>
      <c r="C206" s="1">
        <v>43300101</v>
      </c>
      <c r="D206" t="s">
        <v>67</v>
      </c>
      <c r="H206" t="str">
        <f t="shared" si="26"/>
        <v>08082461008</v>
      </c>
      <c r="I206" t="str">
        <f t="shared" si="26"/>
        <v>08082461008</v>
      </c>
      <c r="K206" t="str">
        <f>""</f>
        <v/>
      </c>
      <c r="M206" t="s">
        <v>68</v>
      </c>
      <c r="N206" t="str">
        <f t="shared" si="27"/>
        <v>FOR</v>
      </c>
      <c r="O206" t="s">
        <v>69</v>
      </c>
      <c r="P206" t="s">
        <v>75</v>
      </c>
      <c r="Q206">
        <v>2016</v>
      </c>
      <c r="R206" s="4">
        <v>42461</v>
      </c>
      <c r="S206" s="2">
        <v>42464</v>
      </c>
      <c r="T206" s="2">
        <v>42461</v>
      </c>
      <c r="U206" s="4">
        <v>42521</v>
      </c>
      <c r="V206" t="s">
        <v>71</v>
      </c>
      <c r="W206" t="str">
        <f>"            16048729"</f>
        <v xml:space="preserve">            16048729</v>
      </c>
      <c r="X206">
        <v>45.76</v>
      </c>
      <c r="Y206">
        <v>0</v>
      </c>
      <c r="Z206" s="5">
        <v>44</v>
      </c>
      <c r="AA206" s="3">
        <v>253</v>
      </c>
      <c r="AB206" s="5">
        <v>11132</v>
      </c>
      <c r="AC206">
        <v>44</v>
      </c>
      <c r="AD206">
        <v>253</v>
      </c>
      <c r="AE206" s="1">
        <v>11132</v>
      </c>
      <c r="AF206">
        <v>0</v>
      </c>
      <c r="AJ206">
        <v>0</v>
      </c>
      <c r="AK206">
        <v>0</v>
      </c>
      <c r="AL206">
        <v>0</v>
      </c>
      <c r="AM206">
        <v>0</v>
      </c>
      <c r="AN206">
        <v>0</v>
      </c>
      <c r="AO206">
        <v>0</v>
      </c>
      <c r="AP206" s="2">
        <v>42831</v>
      </c>
      <c r="AQ206" t="s">
        <v>72</v>
      </c>
      <c r="AR206" t="s">
        <v>72</v>
      </c>
      <c r="AS206">
        <v>356</v>
      </c>
      <c r="AT206" s="4">
        <v>42774</v>
      </c>
      <c r="AU206" t="s">
        <v>73</v>
      </c>
      <c r="AV206">
        <v>356</v>
      </c>
      <c r="AW206" s="4">
        <v>42774</v>
      </c>
      <c r="BD206">
        <v>0</v>
      </c>
      <c r="BN206" t="s">
        <v>74</v>
      </c>
    </row>
    <row r="207" spans="1:66">
      <c r="A207">
        <v>100210</v>
      </c>
      <c r="B207" t="s">
        <v>113</v>
      </c>
      <c r="C207" s="1">
        <v>43300101</v>
      </c>
      <c r="D207" t="s">
        <v>67</v>
      </c>
      <c r="H207" t="str">
        <f t="shared" si="26"/>
        <v>08082461008</v>
      </c>
      <c r="I207" t="str">
        <f t="shared" si="26"/>
        <v>08082461008</v>
      </c>
      <c r="K207" t="str">
        <f>""</f>
        <v/>
      </c>
      <c r="M207" t="s">
        <v>68</v>
      </c>
      <c r="N207" t="str">
        <f t="shared" si="27"/>
        <v>FOR</v>
      </c>
      <c r="O207" t="s">
        <v>69</v>
      </c>
      <c r="P207" t="s">
        <v>75</v>
      </c>
      <c r="Q207">
        <v>2016</v>
      </c>
      <c r="R207" s="4">
        <v>42461</v>
      </c>
      <c r="S207" s="2">
        <v>42464</v>
      </c>
      <c r="T207" s="2">
        <v>42461</v>
      </c>
      <c r="U207" s="4">
        <v>42521</v>
      </c>
      <c r="V207" t="s">
        <v>71</v>
      </c>
      <c r="W207" t="str">
        <f>"            16048731"</f>
        <v xml:space="preserve">            16048731</v>
      </c>
      <c r="X207">
        <v>45.76</v>
      </c>
      <c r="Y207">
        <v>0</v>
      </c>
      <c r="Z207" s="5">
        <v>44</v>
      </c>
      <c r="AA207" s="3">
        <v>253</v>
      </c>
      <c r="AB207" s="5">
        <v>11132</v>
      </c>
      <c r="AC207">
        <v>44</v>
      </c>
      <c r="AD207">
        <v>253</v>
      </c>
      <c r="AE207" s="1">
        <v>11132</v>
      </c>
      <c r="AF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 s="2">
        <v>42831</v>
      </c>
      <c r="AQ207" t="s">
        <v>72</v>
      </c>
      <c r="AR207" t="s">
        <v>72</v>
      </c>
      <c r="AS207">
        <v>356</v>
      </c>
      <c r="AT207" s="4">
        <v>42774</v>
      </c>
      <c r="AU207" t="s">
        <v>73</v>
      </c>
      <c r="AV207">
        <v>356</v>
      </c>
      <c r="AW207" s="4">
        <v>42774</v>
      </c>
      <c r="BD207">
        <v>0</v>
      </c>
      <c r="BN207" t="s">
        <v>74</v>
      </c>
    </row>
    <row r="208" spans="1:66">
      <c r="A208">
        <v>100210</v>
      </c>
      <c r="B208" t="s">
        <v>113</v>
      </c>
      <c r="C208" s="1">
        <v>43300101</v>
      </c>
      <c r="D208" t="s">
        <v>67</v>
      </c>
      <c r="H208" t="str">
        <f t="shared" si="26"/>
        <v>08082461008</v>
      </c>
      <c r="I208" t="str">
        <f t="shared" si="26"/>
        <v>08082461008</v>
      </c>
      <c r="K208" t="str">
        <f>""</f>
        <v/>
      </c>
      <c r="M208" t="s">
        <v>68</v>
      </c>
      <c r="N208" t="str">
        <f t="shared" si="27"/>
        <v>FOR</v>
      </c>
      <c r="O208" t="s">
        <v>69</v>
      </c>
      <c r="P208" t="s">
        <v>75</v>
      </c>
      <c r="Q208">
        <v>2016</v>
      </c>
      <c r="R208" s="4">
        <v>42461</v>
      </c>
      <c r="S208" s="2">
        <v>42464</v>
      </c>
      <c r="T208" s="2">
        <v>42461</v>
      </c>
      <c r="U208" s="4">
        <v>42521</v>
      </c>
      <c r="V208" t="s">
        <v>71</v>
      </c>
      <c r="W208" t="str">
        <f>"            16048734"</f>
        <v xml:space="preserve">            16048734</v>
      </c>
      <c r="X208">
        <v>451.88</v>
      </c>
      <c r="Y208">
        <v>0</v>
      </c>
      <c r="Z208" s="5">
        <v>434.5</v>
      </c>
      <c r="AA208" s="3">
        <v>253</v>
      </c>
      <c r="AB208" s="5">
        <v>109928.5</v>
      </c>
      <c r="AC208">
        <v>434.5</v>
      </c>
      <c r="AD208">
        <v>253</v>
      </c>
      <c r="AE208" s="1">
        <v>109928.5</v>
      </c>
      <c r="AF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 s="2">
        <v>42831</v>
      </c>
      <c r="AQ208" t="s">
        <v>72</v>
      </c>
      <c r="AR208" t="s">
        <v>72</v>
      </c>
      <c r="AS208">
        <v>356</v>
      </c>
      <c r="AT208" s="4">
        <v>42774</v>
      </c>
      <c r="AU208" t="s">
        <v>73</v>
      </c>
      <c r="AV208">
        <v>356</v>
      </c>
      <c r="AW208" s="4">
        <v>42774</v>
      </c>
      <c r="BD208">
        <v>0</v>
      </c>
      <c r="BN208" t="s">
        <v>74</v>
      </c>
    </row>
    <row r="209" spans="1:66">
      <c r="A209">
        <v>100210</v>
      </c>
      <c r="B209" t="s">
        <v>113</v>
      </c>
      <c r="C209" s="1">
        <v>43300101</v>
      </c>
      <c r="D209" t="s">
        <v>67</v>
      </c>
      <c r="H209" t="str">
        <f t="shared" si="26"/>
        <v>08082461008</v>
      </c>
      <c r="I209" t="str">
        <f t="shared" si="26"/>
        <v>08082461008</v>
      </c>
      <c r="K209" t="str">
        <f>""</f>
        <v/>
      </c>
      <c r="M209" t="s">
        <v>68</v>
      </c>
      <c r="N209" t="str">
        <f t="shared" si="27"/>
        <v>FOR</v>
      </c>
      <c r="O209" t="s">
        <v>69</v>
      </c>
      <c r="P209" t="s">
        <v>75</v>
      </c>
      <c r="Q209">
        <v>2016</v>
      </c>
      <c r="R209" s="4">
        <v>42461</v>
      </c>
      <c r="S209" s="2">
        <v>42464</v>
      </c>
      <c r="T209" s="2">
        <v>42461</v>
      </c>
      <c r="U209" s="4">
        <v>42521</v>
      </c>
      <c r="V209" t="s">
        <v>71</v>
      </c>
      <c r="W209" t="str">
        <f>"            16048735"</f>
        <v xml:space="preserve">            16048735</v>
      </c>
      <c r="X209">
        <v>451.88</v>
      </c>
      <c r="Y209">
        <v>0</v>
      </c>
      <c r="Z209" s="5">
        <v>434.5</v>
      </c>
      <c r="AA209" s="3">
        <v>253</v>
      </c>
      <c r="AB209" s="5">
        <v>109928.5</v>
      </c>
      <c r="AC209">
        <v>434.5</v>
      </c>
      <c r="AD209">
        <v>253</v>
      </c>
      <c r="AE209" s="1">
        <v>109928.5</v>
      </c>
      <c r="AF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 s="2">
        <v>42831</v>
      </c>
      <c r="AQ209" t="s">
        <v>72</v>
      </c>
      <c r="AR209" t="s">
        <v>72</v>
      </c>
      <c r="AS209">
        <v>356</v>
      </c>
      <c r="AT209" s="4">
        <v>42774</v>
      </c>
      <c r="AU209" t="s">
        <v>73</v>
      </c>
      <c r="AV209">
        <v>356</v>
      </c>
      <c r="AW209" s="4">
        <v>42774</v>
      </c>
      <c r="BD209">
        <v>0</v>
      </c>
      <c r="BN209" t="s">
        <v>74</v>
      </c>
    </row>
    <row r="210" spans="1:66">
      <c r="A210">
        <v>100210</v>
      </c>
      <c r="B210" t="s">
        <v>113</v>
      </c>
      <c r="C210" s="1">
        <v>43300101</v>
      </c>
      <c r="D210" t="s">
        <v>67</v>
      </c>
      <c r="H210" t="str">
        <f t="shared" si="26"/>
        <v>08082461008</v>
      </c>
      <c r="I210" t="str">
        <f t="shared" si="26"/>
        <v>08082461008</v>
      </c>
      <c r="K210" t="str">
        <f>""</f>
        <v/>
      </c>
      <c r="M210" t="s">
        <v>68</v>
      </c>
      <c r="N210" t="str">
        <f t="shared" si="27"/>
        <v>FOR</v>
      </c>
      <c r="O210" t="s">
        <v>69</v>
      </c>
      <c r="P210" t="s">
        <v>75</v>
      </c>
      <c r="Q210">
        <v>2016</v>
      </c>
      <c r="R210" s="4">
        <v>42461</v>
      </c>
      <c r="S210" s="2">
        <v>42464</v>
      </c>
      <c r="T210" s="2">
        <v>42461</v>
      </c>
      <c r="U210" s="4">
        <v>42521</v>
      </c>
      <c r="V210" t="s">
        <v>71</v>
      </c>
      <c r="W210" t="str">
        <f>"            16048737"</f>
        <v xml:space="preserve">            16048737</v>
      </c>
      <c r="X210">
        <v>451.88</v>
      </c>
      <c r="Y210">
        <v>0</v>
      </c>
      <c r="Z210" s="5">
        <v>434.5</v>
      </c>
      <c r="AA210" s="3">
        <v>253</v>
      </c>
      <c r="AB210" s="5">
        <v>109928.5</v>
      </c>
      <c r="AC210">
        <v>434.5</v>
      </c>
      <c r="AD210">
        <v>253</v>
      </c>
      <c r="AE210" s="1">
        <v>109928.5</v>
      </c>
      <c r="AF210">
        <v>0</v>
      </c>
      <c r="AJ210">
        <v>0</v>
      </c>
      <c r="AK210">
        <v>0</v>
      </c>
      <c r="AL210">
        <v>0</v>
      </c>
      <c r="AM210">
        <v>0</v>
      </c>
      <c r="AN210">
        <v>0</v>
      </c>
      <c r="AO210">
        <v>0</v>
      </c>
      <c r="AP210" s="2">
        <v>42831</v>
      </c>
      <c r="AQ210" t="s">
        <v>72</v>
      </c>
      <c r="AR210" t="s">
        <v>72</v>
      </c>
      <c r="AS210">
        <v>356</v>
      </c>
      <c r="AT210" s="4">
        <v>42774</v>
      </c>
      <c r="AU210" t="s">
        <v>73</v>
      </c>
      <c r="AV210">
        <v>356</v>
      </c>
      <c r="AW210" s="4">
        <v>42774</v>
      </c>
      <c r="BD210">
        <v>0</v>
      </c>
      <c r="BN210" t="s">
        <v>74</v>
      </c>
    </row>
    <row r="211" spans="1:66">
      <c r="A211">
        <v>100210</v>
      </c>
      <c r="B211" t="s">
        <v>113</v>
      </c>
      <c r="C211" s="1">
        <v>43300101</v>
      </c>
      <c r="D211" t="s">
        <v>67</v>
      </c>
      <c r="H211" t="str">
        <f t="shared" si="26"/>
        <v>08082461008</v>
      </c>
      <c r="I211" t="str">
        <f t="shared" si="26"/>
        <v>08082461008</v>
      </c>
      <c r="K211" t="str">
        <f>""</f>
        <v/>
      </c>
      <c r="M211" t="s">
        <v>68</v>
      </c>
      <c r="N211" t="str">
        <f t="shared" si="27"/>
        <v>FOR</v>
      </c>
      <c r="O211" t="s">
        <v>69</v>
      </c>
      <c r="P211" t="s">
        <v>75</v>
      </c>
      <c r="Q211">
        <v>2016</v>
      </c>
      <c r="R211" s="4">
        <v>42461</v>
      </c>
      <c r="S211" s="2">
        <v>42464</v>
      </c>
      <c r="T211" s="2">
        <v>42461</v>
      </c>
      <c r="U211" s="4">
        <v>42521</v>
      </c>
      <c r="V211" t="s">
        <v>71</v>
      </c>
      <c r="W211" t="str">
        <f>"            16048738"</f>
        <v xml:space="preserve">            16048738</v>
      </c>
      <c r="X211">
        <v>451.88</v>
      </c>
      <c r="Y211">
        <v>0</v>
      </c>
      <c r="Z211" s="5">
        <v>434.5</v>
      </c>
      <c r="AA211" s="3">
        <v>253</v>
      </c>
      <c r="AB211" s="5">
        <v>109928.5</v>
      </c>
      <c r="AC211">
        <v>434.5</v>
      </c>
      <c r="AD211">
        <v>253</v>
      </c>
      <c r="AE211" s="1">
        <v>109928.5</v>
      </c>
      <c r="AF211">
        <v>0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 s="2">
        <v>42831</v>
      </c>
      <c r="AQ211" t="s">
        <v>72</v>
      </c>
      <c r="AR211" t="s">
        <v>72</v>
      </c>
      <c r="AS211">
        <v>356</v>
      </c>
      <c r="AT211" s="4">
        <v>42774</v>
      </c>
      <c r="AU211" t="s">
        <v>73</v>
      </c>
      <c r="AV211">
        <v>356</v>
      </c>
      <c r="AW211" s="4">
        <v>42774</v>
      </c>
      <c r="BD211">
        <v>0</v>
      </c>
      <c r="BN211" t="s">
        <v>74</v>
      </c>
    </row>
    <row r="212" spans="1:66">
      <c r="A212">
        <v>100210</v>
      </c>
      <c r="B212" t="s">
        <v>113</v>
      </c>
      <c r="C212" s="1">
        <v>43300101</v>
      </c>
      <c r="D212" t="s">
        <v>67</v>
      </c>
      <c r="H212" t="str">
        <f t="shared" si="26"/>
        <v>08082461008</v>
      </c>
      <c r="I212" t="str">
        <f t="shared" si="26"/>
        <v>08082461008</v>
      </c>
      <c r="K212" t="str">
        <f>""</f>
        <v/>
      </c>
      <c r="M212" t="s">
        <v>68</v>
      </c>
      <c r="N212" t="str">
        <f t="shared" si="27"/>
        <v>FOR</v>
      </c>
      <c r="O212" t="s">
        <v>69</v>
      </c>
      <c r="P212" t="s">
        <v>75</v>
      </c>
      <c r="Q212">
        <v>2016</v>
      </c>
      <c r="R212" s="4">
        <v>42461</v>
      </c>
      <c r="S212" s="2">
        <v>42464</v>
      </c>
      <c r="T212" s="2">
        <v>42461</v>
      </c>
      <c r="U212" s="4">
        <v>42521</v>
      </c>
      <c r="V212" t="s">
        <v>71</v>
      </c>
      <c r="W212" t="str">
        <f>"            16048739"</f>
        <v xml:space="preserve">            16048739</v>
      </c>
      <c r="X212">
        <v>451.88</v>
      </c>
      <c r="Y212">
        <v>0</v>
      </c>
      <c r="Z212" s="5">
        <v>434.5</v>
      </c>
      <c r="AA212" s="3">
        <v>253</v>
      </c>
      <c r="AB212" s="5">
        <v>109928.5</v>
      </c>
      <c r="AC212">
        <v>434.5</v>
      </c>
      <c r="AD212">
        <v>253</v>
      </c>
      <c r="AE212" s="1">
        <v>109928.5</v>
      </c>
      <c r="AF212">
        <v>0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 s="2">
        <v>42831</v>
      </c>
      <c r="AQ212" t="s">
        <v>72</v>
      </c>
      <c r="AR212" t="s">
        <v>72</v>
      </c>
      <c r="AS212">
        <v>356</v>
      </c>
      <c r="AT212" s="4">
        <v>42774</v>
      </c>
      <c r="AU212" t="s">
        <v>73</v>
      </c>
      <c r="AV212">
        <v>356</v>
      </c>
      <c r="AW212" s="4">
        <v>42774</v>
      </c>
      <c r="BD212">
        <v>0</v>
      </c>
      <c r="BN212" t="s">
        <v>74</v>
      </c>
    </row>
    <row r="213" spans="1:66">
      <c r="A213">
        <v>100210</v>
      </c>
      <c r="B213" t="s">
        <v>113</v>
      </c>
      <c r="C213" s="1">
        <v>43300101</v>
      </c>
      <c r="D213" t="s">
        <v>67</v>
      </c>
      <c r="H213" t="str">
        <f t="shared" si="26"/>
        <v>08082461008</v>
      </c>
      <c r="I213" t="str">
        <f t="shared" si="26"/>
        <v>08082461008</v>
      </c>
      <c r="K213" t="str">
        <f>""</f>
        <v/>
      </c>
      <c r="M213" t="s">
        <v>68</v>
      </c>
      <c r="N213" t="str">
        <f t="shared" si="27"/>
        <v>FOR</v>
      </c>
      <c r="O213" t="s">
        <v>69</v>
      </c>
      <c r="P213" t="s">
        <v>75</v>
      </c>
      <c r="Q213">
        <v>2016</v>
      </c>
      <c r="R213" s="4">
        <v>42461</v>
      </c>
      <c r="S213" s="2">
        <v>42464</v>
      </c>
      <c r="T213" s="2">
        <v>42461</v>
      </c>
      <c r="U213" s="4">
        <v>42521</v>
      </c>
      <c r="V213" t="s">
        <v>71</v>
      </c>
      <c r="W213" t="str">
        <f>"            16048741"</f>
        <v xml:space="preserve">            16048741</v>
      </c>
      <c r="X213">
        <v>451.88</v>
      </c>
      <c r="Y213">
        <v>0</v>
      </c>
      <c r="Z213" s="5">
        <v>434.5</v>
      </c>
      <c r="AA213" s="3">
        <v>253</v>
      </c>
      <c r="AB213" s="5">
        <v>109928.5</v>
      </c>
      <c r="AC213">
        <v>434.5</v>
      </c>
      <c r="AD213">
        <v>253</v>
      </c>
      <c r="AE213" s="1">
        <v>109928.5</v>
      </c>
      <c r="AF213">
        <v>0</v>
      </c>
      <c r="AJ213">
        <v>0</v>
      </c>
      <c r="AK213">
        <v>0</v>
      </c>
      <c r="AL213">
        <v>0</v>
      </c>
      <c r="AM213">
        <v>0</v>
      </c>
      <c r="AN213">
        <v>0</v>
      </c>
      <c r="AO213">
        <v>0</v>
      </c>
      <c r="AP213" s="2">
        <v>42831</v>
      </c>
      <c r="AQ213" t="s">
        <v>72</v>
      </c>
      <c r="AR213" t="s">
        <v>72</v>
      </c>
      <c r="AS213">
        <v>356</v>
      </c>
      <c r="AT213" s="4">
        <v>42774</v>
      </c>
      <c r="AU213" t="s">
        <v>73</v>
      </c>
      <c r="AV213">
        <v>356</v>
      </c>
      <c r="AW213" s="4">
        <v>42774</v>
      </c>
      <c r="BD213">
        <v>0</v>
      </c>
      <c r="BN213" t="s">
        <v>74</v>
      </c>
    </row>
    <row r="214" spans="1:66">
      <c r="A214">
        <v>100210</v>
      </c>
      <c r="B214" t="s">
        <v>113</v>
      </c>
      <c r="C214" s="1">
        <v>43300101</v>
      </c>
      <c r="D214" t="s">
        <v>67</v>
      </c>
      <c r="H214" t="str">
        <f t="shared" si="26"/>
        <v>08082461008</v>
      </c>
      <c r="I214" t="str">
        <f t="shared" si="26"/>
        <v>08082461008</v>
      </c>
      <c r="K214" t="str">
        <f>""</f>
        <v/>
      </c>
      <c r="M214" t="s">
        <v>68</v>
      </c>
      <c r="N214" t="str">
        <f t="shared" si="27"/>
        <v>FOR</v>
      </c>
      <c r="O214" t="s">
        <v>69</v>
      </c>
      <c r="P214" t="s">
        <v>75</v>
      </c>
      <c r="Q214">
        <v>2016</v>
      </c>
      <c r="R214" s="4">
        <v>42461</v>
      </c>
      <c r="S214" s="2">
        <v>42464</v>
      </c>
      <c r="T214" s="2">
        <v>42461</v>
      </c>
      <c r="U214" s="4">
        <v>42521</v>
      </c>
      <c r="V214" t="s">
        <v>71</v>
      </c>
      <c r="W214" t="str">
        <f>"            16048743"</f>
        <v xml:space="preserve">            16048743</v>
      </c>
      <c r="X214">
        <v>451.88</v>
      </c>
      <c r="Y214">
        <v>0</v>
      </c>
      <c r="Z214" s="5">
        <v>434.5</v>
      </c>
      <c r="AA214" s="3">
        <v>253</v>
      </c>
      <c r="AB214" s="5">
        <v>109928.5</v>
      </c>
      <c r="AC214">
        <v>434.5</v>
      </c>
      <c r="AD214">
        <v>253</v>
      </c>
      <c r="AE214" s="1">
        <v>109928.5</v>
      </c>
      <c r="AF214">
        <v>0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 s="2">
        <v>42831</v>
      </c>
      <c r="AQ214" t="s">
        <v>72</v>
      </c>
      <c r="AR214" t="s">
        <v>72</v>
      </c>
      <c r="AS214">
        <v>356</v>
      </c>
      <c r="AT214" s="4">
        <v>42774</v>
      </c>
      <c r="AU214" t="s">
        <v>73</v>
      </c>
      <c r="AV214">
        <v>356</v>
      </c>
      <c r="AW214" s="4">
        <v>42774</v>
      </c>
      <c r="BD214">
        <v>0</v>
      </c>
      <c r="BN214" t="s">
        <v>74</v>
      </c>
    </row>
    <row r="215" spans="1:66">
      <c r="A215">
        <v>100210</v>
      </c>
      <c r="B215" t="s">
        <v>113</v>
      </c>
      <c r="C215" s="1">
        <v>43300101</v>
      </c>
      <c r="D215" t="s">
        <v>67</v>
      </c>
      <c r="H215" t="str">
        <f t="shared" si="26"/>
        <v>08082461008</v>
      </c>
      <c r="I215" t="str">
        <f t="shared" si="26"/>
        <v>08082461008</v>
      </c>
      <c r="K215" t="str">
        <f>""</f>
        <v/>
      </c>
      <c r="M215" t="s">
        <v>68</v>
      </c>
      <c r="N215" t="str">
        <f t="shared" si="27"/>
        <v>FOR</v>
      </c>
      <c r="O215" t="s">
        <v>69</v>
      </c>
      <c r="P215" t="s">
        <v>75</v>
      </c>
      <c r="Q215">
        <v>2016</v>
      </c>
      <c r="R215" s="4">
        <v>42461</v>
      </c>
      <c r="S215" s="2">
        <v>42464</v>
      </c>
      <c r="T215" s="2">
        <v>42461</v>
      </c>
      <c r="U215" s="4">
        <v>42521</v>
      </c>
      <c r="V215" t="s">
        <v>71</v>
      </c>
      <c r="W215" t="str">
        <f>"            16048745"</f>
        <v xml:space="preserve">            16048745</v>
      </c>
      <c r="X215">
        <v>451.88</v>
      </c>
      <c r="Y215">
        <v>0</v>
      </c>
      <c r="Z215" s="5">
        <v>434.5</v>
      </c>
      <c r="AA215" s="3">
        <v>253</v>
      </c>
      <c r="AB215" s="5">
        <v>109928.5</v>
      </c>
      <c r="AC215">
        <v>434.5</v>
      </c>
      <c r="AD215">
        <v>253</v>
      </c>
      <c r="AE215" s="1">
        <v>109928.5</v>
      </c>
      <c r="AF215">
        <v>0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 s="2">
        <v>42831</v>
      </c>
      <c r="AQ215" t="s">
        <v>72</v>
      </c>
      <c r="AR215" t="s">
        <v>72</v>
      </c>
      <c r="AS215">
        <v>356</v>
      </c>
      <c r="AT215" s="4">
        <v>42774</v>
      </c>
      <c r="AU215" t="s">
        <v>73</v>
      </c>
      <c r="AV215">
        <v>356</v>
      </c>
      <c r="AW215" s="4">
        <v>42774</v>
      </c>
      <c r="BD215">
        <v>0</v>
      </c>
      <c r="BN215" t="s">
        <v>74</v>
      </c>
    </row>
    <row r="216" spans="1:66">
      <c r="A216">
        <v>100210</v>
      </c>
      <c r="B216" t="s">
        <v>113</v>
      </c>
      <c r="C216" s="1">
        <v>43300101</v>
      </c>
      <c r="D216" t="s">
        <v>67</v>
      </c>
      <c r="H216" t="str">
        <f t="shared" si="26"/>
        <v>08082461008</v>
      </c>
      <c r="I216" t="str">
        <f t="shared" si="26"/>
        <v>08082461008</v>
      </c>
      <c r="K216" t="str">
        <f>""</f>
        <v/>
      </c>
      <c r="M216" t="s">
        <v>68</v>
      </c>
      <c r="N216" t="str">
        <f t="shared" si="27"/>
        <v>FOR</v>
      </c>
      <c r="O216" t="s">
        <v>69</v>
      </c>
      <c r="P216" t="s">
        <v>75</v>
      </c>
      <c r="Q216">
        <v>2016</v>
      </c>
      <c r="R216" s="4">
        <v>42464</v>
      </c>
      <c r="S216" s="2">
        <v>42472</v>
      </c>
      <c r="T216" s="2">
        <v>42465</v>
      </c>
      <c r="U216" s="4">
        <v>42525</v>
      </c>
      <c r="V216" t="s">
        <v>71</v>
      </c>
      <c r="W216" t="str">
        <f>"            16049582"</f>
        <v xml:space="preserve">            16049582</v>
      </c>
      <c r="X216">
        <v>790.56</v>
      </c>
      <c r="Y216">
        <v>0</v>
      </c>
      <c r="Z216" s="5">
        <v>648</v>
      </c>
      <c r="AA216" s="3">
        <v>249</v>
      </c>
      <c r="AB216" s="5">
        <v>161352</v>
      </c>
      <c r="AC216">
        <v>648</v>
      </c>
      <c r="AD216">
        <v>249</v>
      </c>
      <c r="AE216" s="1">
        <v>161352</v>
      </c>
      <c r="AF216">
        <v>0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 s="2">
        <v>42831</v>
      </c>
      <c r="AQ216" t="s">
        <v>72</v>
      </c>
      <c r="AR216" t="s">
        <v>72</v>
      </c>
      <c r="AS216">
        <v>356</v>
      </c>
      <c r="AT216" s="4">
        <v>42774</v>
      </c>
      <c r="AU216" t="s">
        <v>73</v>
      </c>
      <c r="AV216">
        <v>356</v>
      </c>
      <c r="AW216" s="4">
        <v>42774</v>
      </c>
      <c r="BD216">
        <v>0</v>
      </c>
      <c r="BN216" t="s">
        <v>74</v>
      </c>
    </row>
    <row r="217" spans="1:66">
      <c r="A217">
        <v>100210</v>
      </c>
      <c r="B217" t="s">
        <v>113</v>
      </c>
      <c r="C217" s="1">
        <v>43300101</v>
      </c>
      <c r="D217" t="s">
        <v>67</v>
      </c>
      <c r="H217" t="str">
        <f t="shared" si="26"/>
        <v>08082461008</v>
      </c>
      <c r="I217" t="str">
        <f t="shared" si="26"/>
        <v>08082461008</v>
      </c>
      <c r="K217" t="str">
        <f>""</f>
        <v/>
      </c>
      <c r="M217" t="s">
        <v>68</v>
      </c>
      <c r="N217" t="str">
        <f t="shared" si="27"/>
        <v>FOR</v>
      </c>
      <c r="O217" t="s">
        <v>69</v>
      </c>
      <c r="P217" t="s">
        <v>75</v>
      </c>
      <c r="Q217">
        <v>2016</v>
      </c>
      <c r="R217" s="4">
        <v>42465</v>
      </c>
      <c r="S217" s="2">
        <v>42472</v>
      </c>
      <c r="T217" s="2">
        <v>42465</v>
      </c>
      <c r="U217" s="4">
        <v>42525</v>
      </c>
      <c r="V217" t="s">
        <v>71</v>
      </c>
      <c r="W217" t="str">
        <f>"            16050356"</f>
        <v xml:space="preserve">            16050356</v>
      </c>
      <c r="X217">
        <v>644.79999999999995</v>
      </c>
      <c r="Y217">
        <v>0</v>
      </c>
      <c r="Z217" s="5">
        <v>620</v>
      </c>
      <c r="AA217" s="3">
        <v>249</v>
      </c>
      <c r="AB217" s="5">
        <v>154380</v>
      </c>
      <c r="AC217">
        <v>620</v>
      </c>
      <c r="AD217">
        <v>249</v>
      </c>
      <c r="AE217" s="1">
        <v>154380</v>
      </c>
      <c r="AF217">
        <v>0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 s="2">
        <v>42831</v>
      </c>
      <c r="AQ217" t="s">
        <v>72</v>
      </c>
      <c r="AR217" t="s">
        <v>72</v>
      </c>
      <c r="AS217">
        <v>356</v>
      </c>
      <c r="AT217" s="4">
        <v>42774</v>
      </c>
      <c r="AU217" t="s">
        <v>73</v>
      </c>
      <c r="AV217">
        <v>356</v>
      </c>
      <c r="AW217" s="4">
        <v>42774</v>
      </c>
      <c r="BD217">
        <v>0</v>
      </c>
      <c r="BN217" t="s">
        <v>74</v>
      </c>
    </row>
    <row r="218" spans="1:66">
      <c r="A218">
        <v>100210</v>
      </c>
      <c r="B218" t="s">
        <v>113</v>
      </c>
      <c r="C218" s="1">
        <v>43300101</v>
      </c>
      <c r="D218" t="s">
        <v>67</v>
      </c>
      <c r="H218" t="str">
        <f t="shared" ref="H218:I237" si="28">"08082461008"</f>
        <v>08082461008</v>
      </c>
      <c r="I218" t="str">
        <f t="shared" si="28"/>
        <v>08082461008</v>
      </c>
      <c r="K218" t="str">
        <f>""</f>
        <v/>
      </c>
      <c r="M218" t="s">
        <v>68</v>
      </c>
      <c r="N218" t="str">
        <f t="shared" si="27"/>
        <v>FOR</v>
      </c>
      <c r="O218" t="s">
        <v>69</v>
      </c>
      <c r="P218" t="s">
        <v>75</v>
      </c>
      <c r="Q218">
        <v>2016</v>
      </c>
      <c r="R218" s="4">
        <v>42472</v>
      </c>
      <c r="S218" s="2">
        <v>42474</v>
      </c>
      <c r="T218" s="2">
        <v>42473</v>
      </c>
      <c r="U218" s="4">
        <v>42533</v>
      </c>
      <c r="V218" t="s">
        <v>71</v>
      </c>
      <c r="W218" t="str">
        <f>"            16054007"</f>
        <v xml:space="preserve">            16054007</v>
      </c>
      <c r="X218" s="1">
        <v>4091.15</v>
      </c>
      <c r="Y218">
        <v>0</v>
      </c>
      <c r="Z218" s="5">
        <v>3353.4</v>
      </c>
      <c r="AA218" s="3">
        <v>241</v>
      </c>
      <c r="AB218" s="5">
        <v>808169.4</v>
      </c>
      <c r="AC218" s="1">
        <v>3353.4</v>
      </c>
      <c r="AD218">
        <v>241</v>
      </c>
      <c r="AE218" s="1">
        <v>808169.4</v>
      </c>
      <c r="AF218">
        <v>0</v>
      </c>
      <c r="AJ218">
        <v>0</v>
      </c>
      <c r="AK218">
        <v>0</v>
      </c>
      <c r="AL218">
        <v>0</v>
      </c>
      <c r="AM218">
        <v>0</v>
      </c>
      <c r="AN218">
        <v>0</v>
      </c>
      <c r="AO218">
        <v>0</v>
      </c>
      <c r="AP218" s="2">
        <v>42831</v>
      </c>
      <c r="AQ218" t="s">
        <v>72</v>
      </c>
      <c r="AR218" t="s">
        <v>72</v>
      </c>
      <c r="AS218">
        <v>356</v>
      </c>
      <c r="AT218" s="4">
        <v>42774</v>
      </c>
      <c r="AU218" t="s">
        <v>73</v>
      </c>
      <c r="AV218">
        <v>356</v>
      </c>
      <c r="AW218" s="4">
        <v>42774</v>
      </c>
      <c r="BD218">
        <v>0</v>
      </c>
      <c r="BN218" t="s">
        <v>74</v>
      </c>
    </row>
    <row r="219" spans="1:66">
      <c r="A219">
        <v>100210</v>
      </c>
      <c r="B219" t="s">
        <v>113</v>
      </c>
      <c r="C219" s="1">
        <v>43300101</v>
      </c>
      <c r="D219" t="s">
        <v>67</v>
      </c>
      <c r="H219" t="str">
        <f t="shared" si="28"/>
        <v>08082461008</v>
      </c>
      <c r="I219" t="str">
        <f t="shared" si="28"/>
        <v>08082461008</v>
      </c>
      <c r="K219" t="str">
        <f>""</f>
        <v/>
      </c>
      <c r="M219" t="s">
        <v>68</v>
      </c>
      <c r="N219" t="str">
        <f t="shared" si="27"/>
        <v>FOR</v>
      </c>
      <c r="O219" t="s">
        <v>69</v>
      </c>
      <c r="P219" t="s">
        <v>75</v>
      </c>
      <c r="Q219">
        <v>2016</v>
      </c>
      <c r="R219" s="4">
        <v>42472</v>
      </c>
      <c r="S219" s="2">
        <v>42474</v>
      </c>
      <c r="T219" s="2">
        <v>42473</v>
      </c>
      <c r="U219" s="4">
        <v>42533</v>
      </c>
      <c r="V219" t="s">
        <v>71</v>
      </c>
      <c r="W219" t="str">
        <f>"            16054018"</f>
        <v xml:space="preserve">            16054018</v>
      </c>
      <c r="X219">
        <v>126.49</v>
      </c>
      <c r="Y219">
        <v>0</v>
      </c>
      <c r="Z219" s="5">
        <v>103.68</v>
      </c>
      <c r="AA219" s="3">
        <v>241</v>
      </c>
      <c r="AB219" s="5">
        <v>24986.880000000001</v>
      </c>
      <c r="AC219">
        <v>103.68</v>
      </c>
      <c r="AD219">
        <v>241</v>
      </c>
      <c r="AE219" s="1">
        <v>24986.880000000001</v>
      </c>
      <c r="AF219">
        <v>0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 s="2">
        <v>42831</v>
      </c>
      <c r="AQ219" t="s">
        <v>72</v>
      </c>
      <c r="AR219" t="s">
        <v>72</v>
      </c>
      <c r="AS219">
        <v>356</v>
      </c>
      <c r="AT219" s="4">
        <v>42774</v>
      </c>
      <c r="AU219" t="s">
        <v>73</v>
      </c>
      <c r="AV219">
        <v>356</v>
      </c>
      <c r="AW219" s="4">
        <v>42774</v>
      </c>
      <c r="BD219">
        <v>0</v>
      </c>
      <c r="BN219" t="s">
        <v>74</v>
      </c>
    </row>
    <row r="220" spans="1:66">
      <c r="A220">
        <v>100210</v>
      </c>
      <c r="B220" t="s">
        <v>113</v>
      </c>
      <c r="C220" s="1">
        <v>43300101</v>
      </c>
      <c r="D220" t="s">
        <v>67</v>
      </c>
      <c r="H220" t="str">
        <f t="shared" si="28"/>
        <v>08082461008</v>
      </c>
      <c r="I220" t="str">
        <f t="shared" si="28"/>
        <v>08082461008</v>
      </c>
      <c r="K220" t="str">
        <f>""</f>
        <v/>
      </c>
      <c r="M220" t="s">
        <v>68</v>
      </c>
      <c r="N220" t="str">
        <f t="shared" si="27"/>
        <v>FOR</v>
      </c>
      <c r="O220" t="s">
        <v>69</v>
      </c>
      <c r="P220" t="s">
        <v>75</v>
      </c>
      <c r="Q220">
        <v>2016</v>
      </c>
      <c r="R220" s="4">
        <v>42472</v>
      </c>
      <c r="S220" s="2">
        <v>42474</v>
      </c>
      <c r="T220" s="2">
        <v>42473</v>
      </c>
      <c r="U220" s="4">
        <v>42533</v>
      </c>
      <c r="V220" t="s">
        <v>71</v>
      </c>
      <c r="W220" t="str">
        <f>"            16054020"</f>
        <v xml:space="preserve">            16054020</v>
      </c>
      <c r="X220" s="1">
        <v>5885.28</v>
      </c>
      <c r="Y220">
        <v>0</v>
      </c>
      <c r="Z220" s="5">
        <v>4824</v>
      </c>
      <c r="AA220" s="3">
        <v>241</v>
      </c>
      <c r="AB220" s="5">
        <v>1162584</v>
      </c>
      <c r="AC220" s="1">
        <v>4824</v>
      </c>
      <c r="AD220">
        <v>241</v>
      </c>
      <c r="AE220" s="1">
        <v>1162584</v>
      </c>
      <c r="AF220">
        <v>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 s="2">
        <v>42831</v>
      </c>
      <c r="AQ220" t="s">
        <v>72</v>
      </c>
      <c r="AR220" t="s">
        <v>72</v>
      </c>
      <c r="AS220">
        <v>356</v>
      </c>
      <c r="AT220" s="4">
        <v>42774</v>
      </c>
      <c r="AU220" t="s">
        <v>73</v>
      </c>
      <c r="AV220">
        <v>356</v>
      </c>
      <c r="AW220" s="4">
        <v>42774</v>
      </c>
      <c r="BD220">
        <v>0</v>
      </c>
      <c r="BN220" t="s">
        <v>74</v>
      </c>
    </row>
    <row r="221" spans="1:66">
      <c r="A221">
        <v>100210</v>
      </c>
      <c r="B221" t="s">
        <v>113</v>
      </c>
      <c r="C221" s="1">
        <v>43300101</v>
      </c>
      <c r="D221" t="s">
        <v>67</v>
      </c>
      <c r="H221" t="str">
        <f t="shared" si="28"/>
        <v>08082461008</v>
      </c>
      <c r="I221" t="str">
        <f t="shared" si="28"/>
        <v>08082461008</v>
      </c>
      <c r="K221" t="str">
        <f>""</f>
        <v/>
      </c>
      <c r="M221" t="s">
        <v>68</v>
      </c>
      <c r="N221" t="str">
        <f t="shared" si="27"/>
        <v>FOR</v>
      </c>
      <c r="O221" t="s">
        <v>69</v>
      </c>
      <c r="P221" t="s">
        <v>75</v>
      </c>
      <c r="Q221">
        <v>2016</v>
      </c>
      <c r="R221" s="4">
        <v>42472</v>
      </c>
      <c r="S221" s="2">
        <v>42473</v>
      </c>
      <c r="T221" s="2">
        <v>42473</v>
      </c>
      <c r="U221" s="4">
        <v>42533</v>
      </c>
      <c r="V221" t="s">
        <v>71</v>
      </c>
      <c r="W221" t="str">
        <f>"            16054026"</f>
        <v xml:space="preserve">            16054026</v>
      </c>
      <c r="X221" s="1">
        <v>1160.5899999999999</v>
      </c>
      <c r="Y221">
        <v>0</v>
      </c>
      <c r="Z221" s="5">
        <v>951.3</v>
      </c>
      <c r="AA221" s="3">
        <v>241</v>
      </c>
      <c r="AB221" s="5">
        <v>229263.3</v>
      </c>
      <c r="AC221">
        <v>951.3</v>
      </c>
      <c r="AD221">
        <v>241</v>
      </c>
      <c r="AE221" s="1">
        <v>229263.3</v>
      </c>
      <c r="AF221">
        <v>0</v>
      </c>
      <c r="AJ221">
        <v>0</v>
      </c>
      <c r="AK221">
        <v>0</v>
      </c>
      <c r="AL221">
        <v>0</v>
      </c>
      <c r="AM221">
        <v>0</v>
      </c>
      <c r="AN221">
        <v>0</v>
      </c>
      <c r="AO221">
        <v>0</v>
      </c>
      <c r="AP221" s="2">
        <v>42831</v>
      </c>
      <c r="AQ221" t="s">
        <v>72</v>
      </c>
      <c r="AR221" t="s">
        <v>72</v>
      </c>
      <c r="AS221">
        <v>356</v>
      </c>
      <c r="AT221" s="4">
        <v>42774</v>
      </c>
      <c r="AU221" t="s">
        <v>73</v>
      </c>
      <c r="AV221">
        <v>356</v>
      </c>
      <c r="AW221" s="4">
        <v>42774</v>
      </c>
      <c r="BD221">
        <v>0</v>
      </c>
      <c r="BN221" t="s">
        <v>74</v>
      </c>
    </row>
    <row r="222" spans="1:66">
      <c r="A222">
        <v>100210</v>
      </c>
      <c r="B222" t="s">
        <v>113</v>
      </c>
      <c r="C222" s="1">
        <v>43300101</v>
      </c>
      <c r="D222" t="s">
        <v>67</v>
      </c>
      <c r="H222" t="str">
        <f t="shared" si="28"/>
        <v>08082461008</v>
      </c>
      <c r="I222" t="str">
        <f t="shared" si="28"/>
        <v>08082461008</v>
      </c>
      <c r="K222" t="str">
        <f>""</f>
        <v/>
      </c>
      <c r="M222" t="s">
        <v>68</v>
      </c>
      <c r="N222" t="str">
        <f t="shared" si="27"/>
        <v>FOR</v>
      </c>
      <c r="O222" t="s">
        <v>69</v>
      </c>
      <c r="P222" t="s">
        <v>75</v>
      </c>
      <c r="Q222">
        <v>2016</v>
      </c>
      <c r="R222" s="4">
        <v>42472</v>
      </c>
      <c r="S222" s="2">
        <v>42474</v>
      </c>
      <c r="T222" s="2">
        <v>42473</v>
      </c>
      <c r="U222" s="4">
        <v>42533</v>
      </c>
      <c r="V222" t="s">
        <v>71</v>
      </c>
      <c r="W222" t="str">
        <f>"            16054027"</f>
        <v xml:space="preserve">            16054027</v>
      </c>
      <c r="X222" s="1">
        <v>2936.95</v>
      </c>
      <c r="Y222">
        <v>0</v>
      </c>
      <c r="Z222" s="5">
        <v>2407.3200000000002</v>
      </c>
      <c r="AA222" s="3">
        <v>241</v>
      </c>
      <c r="AB222" s="5">
        <v>580164.12</v>
      </c>
      <c r="AC222" s="1">
        <v>2407.3200000000002</v>
      </c>
      <c r="AD222">
        <v>241</v>
      </c>
      <c r="AE222" s="1">
        <v>580164.12</v>
      </c>
      <c r="AF222">
        <v>0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 s="2">
        <v>42831</v>
      </c>
      <c r="AQ222" t="s">
        <v>72</v>
      </c>
      <c r="AR222" t="s">
        <v>72</v>
      </c>
      <c r="AS222">
        <v>356</v>
      </c>
      <c r="AT222" s="4">
        <v>42774</v>
      </c>
      <c r="AU222" t="s">
        <v>73</v>
      </c>
      <c r="AV222">
        <v>356</v>
      </c>
      <c r="AW222" s="4">
        <v>42774</v>
      </c>
      <c r="BD222">
        <v>0</v>
      </c>
      <c r="BN222" t="s">
        <v>74</v>
      </c>
    </row>
    <row r="223" spans="1:66">
      <c r="A223">
        <v>100210</v>
      </c>
      <c r="B223" t="s">
        <v>113</v>
      </c>
      <c r="C223" s="1">
        <v>43300101</v>
      </c>
      <c r="D223" t="s">
        <v>67</v>
      </c>
      <c r="H223" t="str">
        <f t="shared" si="28"/>
        <v>08082461008</v>
      </c>
      <c r="I223" t="str">
        <f t="shared" si="28"/>
        <v>08082461008</v>
      </c>
      <c r="K223" t="str">
        <f>""</f>
        <v/>
      </c>
      <c r="M223" t="s">
        <v>68</v>
      </c>
      <c r="N223" t="str">
        <f t="shared" si="27"/>
        <v>FOR</v>
      </c>
      <c r="O223" t="s">
        <v>69</v>
      </c>
      <c r="P223" t="s">
        <v>75</v>
      </c>
      <c r="Q223">
        <v>2016</v>
      </c>
      <c r="R223" s="4">
        <v>42481</v>
      </c>
      <c r="S223" s="2">
        <v>42482</v>
      </c>
      <c r="T223" s="2">
        <v>42482</v>
      </c>
      <c r="U223" s="4">
        <v>42542</v>
      </c>
      <c r="V223" t="s">
        <v>71</v>
      </c>
      <c r="W223" t="str">
        <f>"            16058999"</f>
        <v xml:space="preserve">            16058999</v>
      </c>
      <c r="X223">
        <v>45.76</v>
      </c>
      <c r="Y223">
        <v>0</v>
      </c>
      <c r="Z223" s="5">
        <v>44</v>
      </c>
      <c r="AA223" s="3">
        <v>232</v>
      </c>
      <c r="AB223" s="5">
        <v>10208</v>
      </c>
      <c r="AC223">
        <v>44</v>
      </c>
      <c r="AD223">
        <v>232</v>
      </c>
      <c r="AE223" s="1">
        <v>10208</v>
      </c>
      <c r="AF223">
        <v>0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 s="2">
        <v>42831</v>
      </c>
      <c r="AQ223" t="s">
        <v>72</v>
      </c>
      <c r="AR223" t="s">
        <v>72</v>
      </c>
      <c r="AS223">
        <v>356</v>
      </c>
      <c r="AT223" s="4">
        <v>42774</v>
      </c>
      <c r="AU223" t="s">
        <v>73</v>
      </c>
      <c r="AV223">
        <v>356</v>
      </c>
      <c r="AW223" s="4">
        <v>42774</v>
      </c>
      <c r="BD223">
        <v>0</v>
      </c>
      <c r="BN223" t="s">
        <v>74</v>
      </c>
    </row>
    <row r="224" spans="1:66">
      <c r="A224">
        <v>100210</v>
      </c>
      <c r="B224" t="s">
        <v>113</v>
      </c>
      <c r="C224" s="1">
        <v>43300101</v>
      </c>
      <c r="D224" t="s">
        <v>67</v>
      </c>
      <c r="H224" t="str">
        <f t="shared" si="28"/>
        <v>08082461008</v>
      </c>
      <c r="I224" t="str">
        <f t="shared" si="28"/>
        <v>08082461008</v>
      </c>
      <c r="K224" t="str">
        <f>""</f>
        <v/>
      </c>
      <c r="M224" t="s">
        <v>68</v>
      </c>
      <c r="N224" t="str">
        <f t="shared" si="27"/>
        <v>FOR</v>
      </c>
      <c r="O224" t="s">
        <v>69</v>
      </c>
      <c r="P224" t="s">
        <v>75</v>
      </c>
      <c r="Q224">
        <v>2016</v>
      </c>
      <c r="R224" s="4">
        <v>42481</v>
      </c>
      <c r="S224" s="2">
        <v>42482</v>
      </c>
      <c r="T224" s="2">
        <v>42482</v>
      </c>
      <c r="U224" s="4">
        <v>42542</v>
      </c>
      <c r="V224" t="s">
        <v>71</v>
      </c>
      <c r="W224" t="str">
        <f>"            16059003"</f>
        <v xml:space="preserve">            16059003</v>
      </c>
      <c r="X224">
        <v>45.76</v>
      </c>
      <c r="Y224">
        <v>0</v>
      </c>
      <c r="Z224" s="5">
        <v>44</v>
      </c>
      <c r="AA224" s="3">
        <v>232</v>
      </c>
      <c r="AB224" s="5">
        <v>10208</v>
      </c>
      <c r="AC224">
        <v>44</v>
      </c>
      <c r="AD224">
        <v>232</v>
      </c>
      <c r="AE224" s="1">
        <v>10208</v>
      </c>
      <c r="AF224">
        <v>0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 s="2">
        <v>42831</v>
      </c>
      <c r="AQ224" t="s">
        <v>72</v>
      </c>
      <c r="AR224" t="s">
        <v>72</v>
      </c>
      <c r="AS224">
        <v>356</v>
      </c>
      <c r="AT224" s="4">
        <v>42774</v>
      </c>
      <c r="AU224" t="s">
        <v>73</v>
      </c>
      <c r="AV224">
        <v>356</v>
      </c>
      <c r="AW224" s="4">
        <v>42774</v>
      </c>
      <c r="BD224">
        <v>0</v>
      </c>
      <c r="BN224" t="s">
        <v>74</v>
      </c>
    </row>
    <row r="225" spans="1:66">
      <c r="A225">
        <v>100210</v>
      </c>
      <c r="B225" t="s">
        <v>113</v>
      </c>
      <c r="C225" s="1">
        <v>43300101</v>
      </c>
      <c r="D225" t="s">
        <v>67</v>
      </c>
      <c r="H225" t="str">
        <f t="shared" si="28"/>
        <v>08082461008</v>
      </c>
      <c r="I225" t="str">
        <f t="shared" si="28"/>
        <v>08082461008</v>
      </c>
      <c r="K225" t="str">
        <f>""</f>
        <v/>
      </c>
      <c r="M225" t="s">
        <v>68</v>
      </c>
      <c r="N225" t="str">
        <f t="shared" si="27"/>
        <v>FOR</v>
      </c>
      <c r="O225" t="s">
        <v>69</v>
      </c>
      <c r="P225" t="s">
        <v>75</v>
      </c>
      <c r="Q225">
        <v>2016</v>
      </c>
      <c r="R225" s="4">
        <v>42481</v>
      </c>
      <c r="S225" s="2">
        <v>42482</v>
      </c>
      <c r="T225" s="2">
        <v>42481</v>
      </c>
      <c r="U225" s="4">
        <v>42541</v>
      </c>
      <c r="V225" t="s">
        <v>71</v>
      </c>
      <c r="W225" t="str">
        <f>"            16059005"</f>
        <v xml:space="preserve">            16059005</v>
      </c>
      <c r="X225">
        <v>451.88</v>
      </c>
      <c r="Y225">
        <v>0</v>
      </c>
      <c r="Z225" s="5">
        <v>434.5</v>
      </c>
      <c r="AA225" s="3">
        <v>233</v>
      </c>
      <c r="AB225" s="5">
        <v>101238.5</v>
      </c>
      <c r="AC225">
        <v>434.5</v>
      </c>
      <c r="AD225">
        <v>233</v>
      </c>
      <c r="AE225" s="1">
        <v>101238.5</v>
      </c>
      <c r="AF225">
        <v>0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 s="2">
        <v>42831</v>
      </c>
      <c r="AQ225" t="s">
        <v>72</v>
      </c>
      <c r="AR225" t="s">
        <v>72</v>
      </c>
      <c r="AS225">
        <v>356</v>
      </c>
      <c r="AT225" s="4">
        <v>42774</v>
      </c>
      <c r="AU225" t="s">
        <v>73</v>
      </c>
      <c r="AV225">
        <v>356</v>
      </c>
      <c r="AW225" s="4">
        <v>42774</v>
      </c>
      <c r="BD225">
        <v>0</v>
      </c>
      <c r="BN225" t="s">
        <v>74</v>
      </c>
    </row>
    <row r="226" spans="1:66">
      <c r="A226">
        <v>100210</v>
      </c>
      <c r="B226" t="s">
        <v>113</v>
      </c>
      <c r="C226" s="1">
        <v>43300101</v>
      </c>
      <c r="D226" t="s">
        <v>67</v>
      </c>
      <c r="H226" t="str">
        <f t="shared" si="28"/>
        <v>08082461008</v>
      </c>
      <c r="I226" t="str">
        <f t="shared" si="28"/>
        <v>08082461008</v>
      </c>
      <c r="K226" t="str">
        <f>""</f>
        <v/>
      </c>
      <c r="M226" t="s">
        <v>68</v>
      </c>
      <c r="N226" t="str">
        <f t="shared" si="27"/>
        <v>FOR</v>
      </c>
      <c r="O226" t="s">
        <v>69</v>
      </c>
      <c r="P226" t="s">
        <v>75</v>
      </c>
      <c r="Q226">
        <v>2016</v>
      </c>
      <c r="R226" s="4">
        <v>42481</v>
      </c>
      <c r="S226" s="2">
        <v>42482</v>
      </c>
      <c r="T226" s="2">
        <v>42482</v>
      </c>
      <c r="U226" s="4">
        <v>42542</v>
      </c>
      <c r="V226" t="s">
        <v>71</v>
      </c>
      <c r="W226" t="str">
        <f>"            16059007"</f>
        <v xml:space="preserve">            16059007</v>
      </c>
      <c r="X226">
        <v>451.88</v>
      </c>
      <c r="Y226">
        <v>0</v>
      </c>
      <c r="Z226" s="5">
        <v>434.5</v>
      </c>
      <c r="AA226" s="3">
        <v>232</v>
      </c>
      <c r="AB226" s="5">
        <v>100804</v>
      </c>
      <c r="AC226">
        <v>434.5</v>
      </c>
      <c r="AD226">
        <v>232</v>
      </c>
      <c r="AE226" s="1">
        <v>100804</v>
      </c>
      <c r="AF226">
        <v>0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 s="2">
        <v>42831</v>
      </c>
      <c r="AQ226" t="s">
        <v>72</v>
      </c>
      <c r="AR226" t="s">
        <v>72</v>
      </c>
      <c r="AS226">
        <v>356</v>
      </c>
      <c r="AT226" s="4">
        <v>42774</v>
      </c>
      <c r="AU226" t="s">
        <v>73</v>
      </c>
      <c r="AV226">
        <v>356</v>
      </c>
      <c r="AW226" s="4">
        <v>42774</v>
      </c>
      <c r="BD226">
        <v>0</v>
      </c>
      <c r="BN226" t="s">
        <v>74</v>
      </c>
    </row>
    <row r="227" spans="1:66">
      <c r="A227">
        <v>100210</v>
      </c>
      <c r="B227" t="s">
        <v>113</v>
      </c>
      <c r="C227" s="1">
        <v>43300101</v>
      </c>
      <c r="D227" t="s">
        <v>67</v>
      </c>
      <c r="H227" t="str">
        <f t="shared" si="28"/>
        <v>08082461008</v>
      </c>
      <c r="I227" t="str">
        <f t="shared" si="28"/>
        <v>08082461008</v>
      </c>
      <c r="K227" t="str">
        <f>""</f>
        <v/>
      </c>
      <c r="M227" t="s">
        <v>68</v>
      </c>
      <c r="N227" t="str">
        <f t="shared" si="27"/>
        <v>FOR</v>
      </c>
      <c r="O227" t="s">
        <v>69</v>
      </c>
      <c r="P227" t="s">
        <v>75</v>
      </c>
      <c r="Q227">
        <v>2016</v>
      </c>
      <c r="R227" s="4">
        <v>42481</v>
      </c>
      <c r="S227" s="2">
        <v>42482</v>
      </c>
      <c r="T227" s="2">
        <v>42482</v>
      </c>
      <c r="U227" s="4">
        <v>42542</v>
      </c>
      <c r="V227" t="s">
        <v>71</v>
      </c>
      <c r="W227" t="str">
        <f>"            16059008"</f>
        <v xml:space="preserve">            16059008</v>
      </c>
      <c r="X227">
        <v>451.88</v>
      </c>
      <c r="Y227">
        <v>0</v>
      </c>
      <c r="Z227" s="5">
        <v>434.5</v>
      </c>
      <c r="AA227" s="3">
        <v>232</v>
      </c>
      <c r="AB227" s="5">
        <v>100804</v>
      </c>
      <c r="AC227">
        <v>434.5</v>
      </c>
      <c r="AD227">
        <v>232</v>
      </c>
      <c r="AE227" s="1">
        <v>100804</v>
      </c>
      <c r="AF227">
        <v>0</v>
      </c>
      <c r="AJ227">
        <v>0</v>
      </c>
      <c r="AK227">
        <v>0</v>
      </c>
      <c r="AL227">
        <v>0</v>
      </c>
      <c r="AM227">
        <v>0</v>
      </c>
      <c r="AN227">
        <v>0</v>
      </c>
      <c r="AO227">
        <v>0</v>
      </c>
      <c r="AP227" s="2">
        <v>42831</v>
      </c>
      <c r="AQ227" t="s">
        <v>72</v>
      </c>
      <c r="AR227" t="s">
        <v>72</v>
      </c>
      <c r="AS227">
        <v>356</v>
      </c>
      <c r="AT227" s="4">
        <v>42774</v>
      </c>
      <c r="AU227" t="s">
        <v>73</v>
      </c>
      <c r="AV227">
        <v>356</v>
      </c>
      <c r="AW227" s="4">
        <v>42774</v>
      </c>
      <c r="BD227">
        <v>0</v>
      </c>
      <c r="BN227" t="s">
        <v>74</v>
      </c>
    </row>
    <row r="228" spans="1:66">
      <c r="A228">
        <v>100210</v>
      </c>
      <c r="B228" t="s">
        <v>113</v>
      </c>
      <c r="C228" s="1">
        <v>43300101</v>
      </c>
      <c r="D228" t="s">
        <v>67</v>
      </c>
      <c r="H228" t="str">
        <f t="shared" si="28"/>
        <v>08082461008</v>
      </c>
      <c r="I228" t="str">
        <f t="shared" si="28"/>
        <v>08082461008</v>
      </c>
      <c r="K228" t="str">
        <f>""</f>
        <v/>
      </c>
      <c r="M228" t="s">
        <v>68</v>
      </c>
      <c r="N228" t="str">
        <f t="shared" si="27"/>
        <v>FOR</v>
      </c>
      <c r="O228" t="s">
        <v>69</v>
      </c>
      <c r="P228" t="s">
        <v>75</v>
      </c>
      <c r="Q228">
        <v>2016</v>
      </c>
      <c r="R228" s="4">
        <v>42481</v>
      </c>
      <c r="S228" s="2">
        <v>42482</v>
      </c>
      <c r="T228" s="2">
        <v>42481</v>
      </c>
      <c r="U228" s="4">
        <v>42541</v>
      </c>
      <c r="V228" t="s">
        <v>71</v>
      </c>
      <c r="W228" t="str">
        <f>"            16059009"</f>
        <v xml:space="preserve">            16059009</v>
      </c>
      <c r="X228">
        <v>45.76</v>
      </c>
      <c r="Y228">
        <v>0</v>
      </c>
      <c r="Z228" s="5">
        <v>44</v>
      </c>
      <c r="AA228" s="3">
        <v>233</v>
      </c>
      <c r="AB228" s="5">
        <v>10252</v>
      </c>
      <c r="AC228">
        <v>44</v>
      </c>
      <c r="AD228">
        <v>233</v>
      </c>
      <c r="AE228" s="1">
        <v>10252</v>
      </c>
      <c r="AF228">
        <v>0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 s="2">
        <v>42831</v>
      </c>
      <c r="AQ228" t="s">
        <v>72</v>
      </c>
      <c r="AR228" t="s">
        <v>72</v>
      </c>
      <c r="AS228">
        <v>356</v>
      </c>
      <c r="AT228" s="4">
        <v>42774</v>
      </c>
      <c r="AU228" t="s">
        <v>73</v>
      </c>
      <c r="AV228">
        <v>356</v>
      </c>
      <c r="AW228" s="4">
        <v>42774</v>
      </c>
      <c r="BD228">
        <v>0</v>
      </c>
      <c r="BN228" t="s">
        <v>74</v>
      </c>
    </row>
    <row r="229" spans="1:66">
      <c r="A229">
        <v>100210</v>
      </c>
      <c r="B229" t="s">
        <v>113</v>
      </c>
      <c r="C229" s="1">
        <v>43300101</v>
      </c>
      <c r="D229" t="s">
        <v>67</v>
      </c>
      <c r="H229" t="str">
        <f t="shared" si="28"/>
        <v>08082461008</v>
      </c>
      <c r="I229" t="str">
        <f t="shared" si="28"/>
        <v>08082461008</v>
      </c>
      <c r="K229" t="str">
        <f>""</f>
        <v/>
      </c>
      <c r="M229" t="s">
        <v>68</v>
      </c>
      <c r="N229" t="str">
        <f t="shared" si="27"/>
        <v>FOR</v>
      </c>
      <c r="O229" t="s">
        <v>69</v>
      </c>
      <c r="P229" t="s">
        <v>75</v>
      </c>
      <c r="Q229">
        <v>2016</v>
      </c>
      <c r="R229" s="4">
        <v>42481</v>
      </c>
      <c r="S229" s="2">
        <v>42482</v>
      </c>
      <c r="T229" s="2">
        <v>42481</v>
      </c>
      <c r="U229" s="4">
        <v>42541</v>
      </c>
      <c r="V229" t="s">
        <v>71</v>
      </c>
      <c r="W229" t="str">
        <f>"            16059010"</f>
        <v xml:space="preserve">            16059010</v>
      </c>
      <c r="X229">
        <v>45.76</v>
      </c>
      <c r="Y229">
        <v>0</v>
      </c>
      <c r="Z229" s="5">
        <v>44</v>
      </c>
      <c r="AA229" s="3">
        <v>233</v>
      </c>
      <c r="AB229" s="5">
        <v>10252</v>
      </c>
      <c r="AC229">
        <v>44</v>
      </c>
      <c r="AD229">
        <v>233</v>
      </c>
      <c r="AE229" s="1">
        <v>10252</v>
      </c>
      <c r="AF229">
        <v>0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 s="2">
        <v>42831</v>
      </c>
      <c r="AQ229" t="s">
        <v>72</v>
      </c>
      <c r="AR229" t="s">
        <v>72</v>
      </c>
      <c r="AS229">
        <v>356</v>
      </c>
      <c r="AT229" s="4">
        <v>42774</v>
      </c>
      <c r="AU229" t="s">
        <v>73</v>
      </c>
      <c r="AV229">
        <v>356</v>
      </c>
      <c r="AW229" s="4">
        <v>42774</v>
      </c>
      <c r="BD229">
        <v>0</v>
      </c>
      <c r="BN229" t="s">
        <v>74</v>
      </c>
    </row>
    <row r="230" spans="1:66">
      <c r="A230">
        <v>100210</v>
      </c>
      <c r="B230" t="s">
        <v>113</v>
      </c>
      <c r="C230" s="1">
        <v>43300101</v>
      </c>
      <c r="D230" t="s">
        <v>67</v>
      </c>
      <c r="H230" t="str">
        <f t="shared" si="28"/>
        <v>08082461008</v>
      </c>
      <c r="I230" t="str">
        <f t="shared" si="28"/>
        <v>08082461008</v>
      </c>
      <c r="K230" t="str">
        <f>""</f>
        <v/>
      </c>
      <c r="M230" t="s">
        <v>68</v>
      </c>
      <c r="N230" t="str">
        <f t="shared" ref="N230:N265" si="29">"FOR"</f>
        <v>FOR</v>
      </c>
      <c r="O230" t="s">
        <v>69</v>
      </c>
      <c r="P230" t="s">
        <v>75</v>
      </c>
      <c r="Q230">
        <v>2016</v>
      </c>
      <c r="R230" s="4">
        <v>42481</v>
      </c>
      <c r="S230" s="2">
        <v>42482</v>
      </c>
      <c r="T230" s="2">
        <v>42482</v>
      </c>
      <c r="U230" s="4">
        <v>42542</v>
      </c>
      <c r="V230" t="s">
        <v>71</v>
      </c>
      <c r="W230" t="str">
        <f>"            16059011"</f>
        <v xml:space="preserve">            16059011</v>
      </c>
      <c r="X230">
        <v>114.4</v>
      </c>
      <c r="Y230">
        <v>0</v>
      </c>
      <c r="Z230" s="5">
        <v>110</v>
      </c>
      <c r="AA230" s="3">
        <v>232</v>
      </c>
      <c r="AB230" s="5">
        <v>25520</v>
      </c>
      <c r="AC230">
        <v>110</v>
      </c>
      <c r="AD230">
        <v>232</v>
      </c>
      <c r="AE230" s="1">
        <v>25520</v>
      </c>
      <c r="AF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 s="2">
        <v>42831</v>
      </c>
      <c r="AQ230" t="s">
        <v>72</v>
      </c>
      <c r="AR230" t="s">
        <v>72</v>
      </c>
      <c r="AS230">
        <v>356</v>
      </c>
      <c r="AT230" s="4">
        <v>42774</v>
      </c>
      <c r="AU230" t="s">
        <v>73</v>
      </c>
      <c r="AV230">
        <v>356</v>
      </c>
      <c r="AW230" s="4">
        <v>42774</v>
      </c>
      <c r="BD230">
        <v>0</v>
      </c>
      <c r="BN230" t="s">
        <v>74</v>
      </c>
    </row>
    <row r="231" spans="1:66">
      <c r="A231">
        <v>100210</v>
      </c>
      <c r="B231" t="s">
        <v>113</v>
      </c>
      <c r="C231" s="1">
        <v>43300101</v>
      </c>
      <c r="D231" t="s">
        <v>67</v>
      </c>
      <c r="H231" t="str">
        <f t="shared" si="28"/>
        <v>08082461008</v>
      </c>
      <c r="I231" t="str">
        <f t="shared" si="28"/>
        <v>08082461008</v>
      </c>
      <c r="K231" t="str">
        <f>""</f>
        <v/>
      </c>
      <c r="M231" t="s">
        <v>68</v>
      </c>
      <c r="N231" t="str">
        <f t="shared" si="29"/>
        <v>FOR</v>
      </c>
      <c r="O231" t="s">
        <v>69</v>
      </c>
      <c r="P231" t="s">
        <v>75</v>
      </c>
      <c r="Q231">
        <v>2016</v>
      </c>
      <c r="R231" s="4">
        <v>42481</v>
      </c>
      <c r="S231" s="2">
        <v>42482</v>
      </c>
      <c r="T231" s="2">
        <v>42481</v>
      </c>
      <c r="U231" s="4">
        <v>42541</v>
      </c>
      <c r="V231" t="s">
        <v>71</v>
      </c>
      <c r="W231" t="str">
        <f>"            16059024"</f>
        <v xml:space="preserve">            16059024</v>
      </c>
      <c r="X231">
        <v>114.4</v>
      </c>
      <c r="Y231">
        <v>0</v>
      </c>
      <c r="Z231" s="5">
        <v>110</v>
      </c>
      <c r="AA231" s="3">
        <v>233</v>
      </c>
      <c r="AB231" s="5">
        <v>25630</v>
      </c>
      <c r="AC231">
        <v>110</v>
      </c>
      <c r="AD231">
        <v>233</v>
      </c>
      <c r="AE231" s="1">
        <v>25630</v>
      </c>
      <c r="AF231">
        <v>0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 s="2">
        <v>42831</v>
      </c>
      <c r="AQ231" t="s">
        <v>72</v>
      </c>
      <c r="AR231" t="s">
        <v>72</v>
      </c>
      <c r="AS231">
        <v>356</v>
      </c>
      <c r="AT231" s="4">
        <v>42774</v>
      </c>
      <c r="AU231" t="s">
        <v>73</v>
      </c>
      <c r="AV231">
        <v>356</v>
      </c>
      <c r="AW231" s="4">
        <v>42774</v>
      </c>
      <c r="BD231">
        <v>0</v>
      </c>
      <c r="BN231" t="s">
        <v>74</v>
      </c>
    </row>
    <row r="232" spans="1:66">
      <c r="A232">
        <v>100210</v>
      </c>
      <c r="B232" t="s">
        <v>113</v>
      </c>
      <c r="C232" s="1">
        <v>43300101</v>
      </c>
      <c r="D232" t="s">
        <v>67</v>
      </c>
      <c r="H232" t="str">
        <f t="shared" si="28"/>
        <v>08082461008</v>
      </c>
      <c r="I232" t="str">
        <f t="shared" si="28"/>
        <v>08082461008</v>
      </c>
      <c r="K232" t="str">
        <f>""</f>
        <v/>
      </c>
      <c r="M232" t="s">
        <v>68</v>
      </c>
      <c r="N232" t="str">
        <f t="shared" si="29"/>
        <v>FOR</v>
      </c>
      <c r="O232" t="s">
        <v>69</v>
      </c>
      <c r="P232" t="s">
        <v>75</v>
      </c>
      <c r="Q232">
        <v>2016</v>
      </c>
      <c r="R232" s="4">
        <v>42482</v>
      </c>
      <c r="S232" s="2">
        <v>42486</v>
      </c>
      <c r="T232" s="2">
        <v>42482</v>
      </c>
      <c r="U232" s="4">
        <v>42542</v>
      </c>
      <c r="V232" t="s">
        <v>71</v>
      </c>
      <c r="W232" t="str">
        <f>"            16059688"</f>
        <v xml:space="preserve">            16059688</v>
      </c>
      <c r="X232">
        <v>644.79999999999995</v>
      </c>
      <c r="Y232">
        <v>0</v>
      </c>
      <c r="Z232" s="5">
        <v>620</v>
      </c>
      <c r="AA232" s="3">
        <v>232</v>
      </c>
      <c r="AB232" s="5">
        <v>143840</v>
      </c>
      <c r="AC232">
        <v>620</v>
      </c>
      <c r="AD232">
        <v>232</v>
      </c>
      <c r="AE232" s="1">
        <v>143840</v>
      </c>
      <c r="AF232">
        <v>0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 s="2">
        <v>42831</v>
      </c>
      <c r="AQ232" t="s">
        <v>72</v>
      </c>
      <c r="AR232" t="s">
        <v>72</v>
      </c>
      <c r="AS232">
        <v>356</v>
      </c>
      <c r="AT232" s="4">
        <v>42774</v>
      </c>
      <c r="AU232" t="s">
        <v>73</v>
      </c>
      <c r="AV232">
        <v>356</v>
      </c>
      <c r="AW232" s="4">
        <v>42774</v>
      </c>
      <c r="BD232">
        <v>0</v>
      </c>
      <c r="BN232" t="s">
        <v>74</v>
      </c>
    </row>
    <row r="233" spans="1:66">
      <c r="A233">
        <v>100210</v>
      </c>
      <c r="B233" t="s">
        <v>113</v>
      </c>
      <c r="C233" s="1">
        <v>43300101</v>
      </c>
      <c r="D233" t="s">
        <v>67</v>
      </c>
      <c r="H233" t="str">
        <f t="shared" si="28"/>
        <v>08082461008</v>
      </c>
      <c r="I233" t="str">
        <f t="shared" si="28"/>
        <v>08082461008</v>
      </c>
      <c r="K233" t="str">
        <f>""</f>
        <v/>
      </c>
      <c r="M233" t="s">
        <v>68</v>
      </c>
      <c r="N233" t="str">
        <f t="shared" si="29"/>
        <v>FOR</v>
      </c>
      <c r="O233" t="s">
        <v>69</v>
      </c>
      <c r="P233" t="s">
        <v>75</v>
      </c>
      <c r="Q233">
        <v>2016</v>
      </c>
      <c r="R233" s="4">
        <v>42488</v>
      </c>
      <c r="S233" s="2">
        <v>42543</v>
      </c>
      <c r="T233" s="2">
        <v>42541</v>
      </c>
      <c r="U233" s="4">
        <v>42601</v>
      </c>
      <c r="V233" t="s">
        <v>71</v>
      </c>
      <c r="W233" t="str">
        <f>"            16062520"</f>
        <v xml:space="preserve">            16062520</v>
      </c>
      <c r="X233" s="1">
        <v>9672</v>
      </c>
      <c r="Y233">
        <v>0</v>
      </c>
      <c r="Z233" s="5">
        <v>9300</v>
      </c>
      <c r="AA233" s="3">
        <v>173</v>
      </c>
      <c r="AB233" s="5">
        <v>1608900</v>
      </c>
      <c r="AC233" s="1">
        <v>9300</v>
      </c>
      <c r="AD233">
        <v>173</v>
      </c>
      <c r="AE233" s="1">
        <v>1608900</v>
      </c>
      <c r="AF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 s="2">
        <v>42831</v>
      </c>
      <c r="AQ233" t="s">
        <v>72</v>
      </c>
      <c r="AR233" t="s">
        <v>72</v>
      </c>
      <c r="AS233">
        <v>356</v>
      </c>
      <c r="AT233" s="4">
        <v>42774</v>
      </c>
      <c r="AU233" t="s">
        <v>73</v>
      </c>
      <c r="AV233">
        <v>356</v>
      </c>
      <c r="AW233" s="4">
        <v>42774</v>
      </c>
      <c r="BD233">
        <v>0</v>
      </c>
      <c r="BN233" t="s">
        <v>74</v>
      </c>
    </row>
    <row r="234" spans="1:66">
      <c r="A234">
        <v>100210</v>
      </c>
      <c r="B234" t="s">
        <v>113</v>
      </c>
      <c r="C234" s="1">
        <v>43300101</v>
      </c>
      <c r="D234" t="s">
        <v>67</v>
      </c>
      <c r="H234" t="str">
        <f t="shared" si="28"/>
        <v>08082461008</v>
      </c>
      <c r="I234" t="str">
        <f t="shared" si="28"/>
        <v>08082461008</v>
      </c>
      <c r="K234" t="str">
        <f>""</f>
        <v/>
      </c>
      <c r="M234" t="s">
        <v>68</v>
      </c>
      <c r="N234" t="str">
        <f t="shared" si="29"/>
        <v>FOR</v>
      </c>
      <c r="O234" t="s">
        <v>69</v>
      </c>
      <c r="P234" t="s">
        <v>75</v>
      </c>
      <c r="Q234">
        <v>2016</v>
      </c>
      <c r="R234" s="4">
        <v>42489</v>
      </c>
      <c r="S234" s="2">
        <v>42543</v>
      </c>
      <c r="T234" s="2">
        <v>42541</v>
      </c>
      <c r="U234" s="4">
        <v>42601</v>
      </c>
      <c r="V234" t="s">
        <v>71</v>
      </c>
      <c r="W234" t="str">
        <f>"            16063892"</f>
        <v xml:space="preserve">            16063892</v>
      </c>
      <c r="X234">
        <v>653.27</v>
      </c>
      <c r="Y234">
        <v>0</v>
      </c>
      <c r="Z234" s="5">
        <v>535.46</v>
      </c>
      <c r="AA234" s="3">
        <v>173</v>
      </c>
      <c r="AB234" s="5">
        <v>92634.58</v>
      </c>
      <c r="AC234">
        <v>535.46</v>
      </c>
      <c r="AD234">
        <v>173</v>
      </c>
      <c r="AE234" s="1">
        <v>92634.58</v>
      </c>
      <c r="AF234">
        <v>0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 s="2">
        <v>42831</v>
      </c>
      <c r="AQ234" t="s">
        <v>72</v>
      </c>
      <c r="AR234" t="s">
        <v>72</v>
      </c>
      <c r="AS234">
        <v>356</v>
      </c>
      <c r="AT234" s="4">
        <v>42774</v>
      </c>
      <c r="AU234" t="s">
        <v>73</v>
      </c>
      <c r="AV234">
        <v>356</v>
      </c>
      <c r="AW234" s="4">
        <v>42774</v>
      </c>
      <c r="BD234">
        <v>0</v>
      </c>
      <c r="BN234" t="s">
        <v>74</v>
      </c>
    </row>
    <row r="235" spans="1:66">
      <c r="A235">
        <v>100210</v>
      </c>
      <c r="B235" t="s">
        <v>113</v>
      </c>
      <c r="C235" s="1">
        <v>43300101</v>
      </c>
      <c r="D235" t="s">
        <v>67</v>
      </c>
      <c r="H235" t="str">
        <f t="shared" si="28"/>
        <v>08082461008</v>
      </c>
      <c r="I235" t="str">
        <f t="shared" si="28"/>
        <v>08082461008</v>
      </c>
      <c r="K235" t="str">
        <f>""</f>
        <v/>
      </c>
      <c r="M235" t="s">
        <v>68</v>
      </c>
      <c r="N235" t="str">
        <f t="shared" si="29"/>
        <v>FOR</v>
      </c>
      <c r="O235" t="s">
        <v>69</v>
      </c>
      <c r="P235" t="s">
        <v>75</v>
      </c>
      <c r="Q235">
        <v>2016</v>
      </c>
      <c r="R235" s="4">
        <v>42490</v>
      </c>
      <c r="S235" s="2">
        <v>42733</v>
      </c>
      <c r="T235" s="2">
        <v>42732</v>
      </c>
      <c r="U235" s="4">
        <v>42792</v>
      </c>
      <c r="V235" t="s">
        <v>71</v>
      </c>
      <c r="W235" t="str">
        <f>"            16064232"</f>
        <v xml:space="preserve">            16064232</v>
      </c>
      <c r="X235">
        <v>451.88</v>
      </c>
      <c r="Y235">
        <v>0</v>
      </c>
      <c r="Z235" s="5">
        <v>434.5</v>
      </c>
      <c r="AA235" s="3">
        <v>-18</v>
      </c>
      <c r="AB235" s="5">
        <v>-7821</v>
      </c>
      <c r="AC235">
        <v>434.5</v>
      </c>
      <c r="AD235">
        <v>-18</v>
      </c>
      <c r="AE235" s="1">
        <v>-7821</v>
      </c>
      <c r="AF235">
        <v>0</v>
      </c>
      <c r="AJ235">
        <v>0</v>
      </c>
      <c r="AK235">
        <v>0</v>
      </c>
      <c r="AL235">
        <v>0</v>
      </c>
      <c r="AM235">
        <v>0</v>
      </c>
      <c r="AN235">
        <v>0</v>
      </c>
      <c r="AO235">
        <v>0</v>
      </c>
      <c r="AP235" s="2">
        <v>42831</v>
      </c>
      <c r="AQ235" t="s">
        <v>72</v>
      </c>
      <c r="AR235" t="s">
        <v>72</v>
      </c>
      <c r="AS235">
        <v>356</v>
      </c>
      <c r="AT235" s="4">
        <v>42774</v>
      </c>
      <c r="AV235">
        <v>356</v>
      </c>
      <c r="AW235" s="4">
        <v>42774</v>
      </c>
      <c r="BD235">
        <v>0</v>
      </c>
      <c r="BN235" t="s">
        <v>74</v>
      </c>
    </row>
    <row r="236" spans="1:66">
      <c r="A236">
        <v>100210</v>
      </c>
      <c r="B236" t="s">
        <v>113</v>
      </c>
      <c r="C236" s="1">
        <v>43300101</v>
      </c>
      <c r="D236" t="s">
        <v>67</v>
      </c>
      <c r="H236" t="str">
        <f t="shared" si="28"/>
        <v>08082461008</v>
      </c>
      <c r="I236" t="str">
        <f t="shared" si="28"/>
        <v>08082461008</v>
      </c>
      <c r="K236" t="str">
        <f>""</f>
        <v/>
      </c>
      <c r="M236" t="s">
        <v>68</v>
      </c>
      <c r="N236" t="str">
        <f t="shared" si="29"/>
        <v>FOR</v>
      </c>
      <c r="O236" t="s">
        <v>69</v>
      </c>
      <c r="P236" t="s">
        <v>75</v>
      </c>
      <c r="Q236">
        <v>2016</v>
      </c>
      <c r="R236" s="4">
        <v>42493</v>
      </c>
      <c r="S236" s="2">
        <v>42496</v>
      </c>
      <c r="T236" s="2">
        <v>42494</v>
      </c>
      <c r="U236" s="4">
        <v>42554</v>
      </c>
      <c r="V236" t="s">
        <v>71</v>
      </c>
      <c r="W236" t="str">
        <f>"            16065193"</f>
        <v xml:space="preserve">            16065193</v>
      </c>
      <c r="X236" s="1">
        <v>2445.4699999999998</v>
      </c>
      <c r="Y236">
        <v>0</v>
      </c>
      <c r="Z236" s="5">
        <v>2004.48</v>
      </c>
      <c r="AA236" s="3">
        <v>220</v>
      </c>
      <c r="AB236" s="5">
        <v>440985.59999999998</v>
      </c>
      <c r="AC236" s="1">
        <v>2004.48</v>
      </c>
      <c r="AD236">
        <v>220</v>
      </c>
      <c r="AE236" s="1">
        <v>440985.59999999998</v>
      </c>
      <c r="AF236">
        <v>0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 s="2">
        <v>42831</v>
      </c>
      <c r="AQ236" t="s">
        <v>72</v>
      </c>
      <c r="AR236" t="s">
        <v>72</v>
      </c>
      <c r="AS236">
        <v>357</v>
      </c>
      <c r="AT236" s="4">
        <v>42774</v>
      </c>
      <c r="AU236" t="s">
        <v>73</v>
      </c>
      <c r="AV236">
        <v>357</v>
      </c>
      <c r="AW236" s="4">
        <v>42774</v>
      </c>
      <c r="BD236">
        <v>0</v>
      </c>
      <c r="BN236" t="s">
        <v>74</v>
      </c>
    </row>
    <row r="237" spans="1:66">
      <c r="A237">
        <v>100210</v>
      </c>
      <c r="B237" t="s">
        <v>113</v>
      </c>
      <c r="C237" s="1">
        <v>43300101</v>
      </c>
      <c r="D237" t="s">
        <v>67</v>
      </c>
      <c r="H237" t="str">
        <f t="shared" si="28"/>
        <v>08082461008</v>
      </c>
      <c r="I237" t="str">
        <f t="shared" si="28"/>
        <v>08082461008</v>
      </c>
      <c r="K237" t="str">
        <f>""</f>
        <v/>
      </c>
      <c r="M237" t="s">
        <v>68</v>
      </c>
      <c r="N237" t="str">
        <f t="shared" si="29"/>
        <v>FOR</v>
      </c>
      <c r="O237" t="s">
        <v>69</v>
      </c>
      <c r="P237" t="s">
        <v>75</v>
      </c>
      <c r="Q237">
        <v>2016</v>
      </c>
      <c r="R237" s="4">
        <v>42495</v>
      </c>
      <c r="S237" s="2">
        <v>42496</v>
      </c>
      <c r="T237" s="2">
        <v>42496</v>
      </c>
      <c r="U237" s="4">
        <v>42556</v>
      </c>
      <c r="V237" t="s">
        <v>71</v>
      </c>
      <c r="W237" t="str">
        <f>"            16066422"</f>
        <v xml:space="preserve">            16066422</v>
      </c>
      <c r="X237">
        <v>94.33</v>
      </c>
      <c r="Y237">
        <v>0</v>
      </c>
      <c r="Z237" s="5">
        <v>77.319999999999993</v>
      </c>
      <c r="AA237" s="3">
        <v>218</v>
      </c>
      <c r="AB237" s="5">
        <v>16855.759999999998</v>
      </c>
      <c r="AC237">
        <v>77.319999999999993</v>
      </c>
      <c r="AD237">
        <v>218</v>
      </c>
      <c r="AE237" s="1">
        <v>16855.759999999998</v>
      </c>
      <c r="AF237">
        <v>0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 s="2">
        <v>42831</v>
      </c>
      <c r="AQ237" t="s">
        <v>72</v>
      </c>
      <c r="AR237" t="s">
        <v>72</v>
      </c>
      <c r="AS237">
        <v>357</v>
      </c>
      <c r="AT237" s="4">
        <v>42774</v>
      </c>
      <c r="AU237" t="s">
        <v>73</v>
      </c>
      <c r="AV237">
        <v>357</v>
      </c>
      <c r="AW237" s="4">
        <v>42774</v>
      </c>
      <c r="BD237">
        <v>0</v>
      </c>
      <c r="BN237" t="s">
        <v>74</v>
      </c>
    </row>
    <row r="238" spans="1:66">
      <c r="A238">
        <v>100210</v>
      </c>
      <c r="B238" t="s">
        <v>113</v>
      </c>
      <c r="C238" s="1">
        <v>43300101</v>
      </c>
      <c r="D238" t="s">
        <v>67</v>
      </c>
      <c r="H238" t="str">
        <f t="shared" ref="H238:I257" si="30">"08082461008"</f>
        <v>08082461008</v>
      </c>
      <c r="I238" t="str">
        <f t="shared" si="30"/>
        <v>08082461008</v>
      </c>
      <c r="K238" t="str">
        <f>""</f>
        <v/>
      </c>
      <c r="M238" t="s">
        <v>68</v>
      </c>
      <c r="N238" t="str">
        <f t="shared" si="29"/>
        <v>FOR</v>
      </c>
      <c r="O238" t="s">
        <v>69</v>
      </c>
      <c r="P238" t="s">
        <v>75</v>
      </c>
      <c r="Q238">
        <v>2016</v>
      </c>
      <c r="R238" s="4">
        <v>42509</v>
      </c>
      <c r="S238" s="2">
        <v>42515</v>
      </c>
      <c r="T238" s="2">
        <v>42510</v>
      </c>
      <c r="U238" s="4">
        <v>42570</v>
      </c>
      <c r="V238" t="s">
        <v>71</v>
      </c>
      <c r="W238" t="str">
        <f>"            16073164"</f>
        <v xml:space="preserve">            16073164</v>
      </c>
      <c r="X238" s="1">
        <v>2360.6999999999998</v>
      </c>
      <c r="Y238">
        <v>0</v>
      </c>
      <c r="Z238" s="5">
        <v>1935</v>
      </c>
      <c r="AA238" s="3">
        <v>204</v>
      </c>
      <c r="AB238" s="5">
        <v>394740</v>
      </c>
      <c r="AC238" s="1">
        <v>1935</v>
      </c>
      <c r="AD238">
        <v>204</v>
      </c>
      <c r="AE238" s="1">
        <v>394740</v>
      </c>
      <c r="AF238">
        <v>0</v>
      </c>
      <c r="AJ238">
        <v>0</v>
      </c>
      <c r="AK238">
        <v>0</v>
      </c>
      <c r="AL238">
        <v>0</v>
      </c>
      <c r="AM238">
        <v>0</v>
      </c>
      <c r="AN238">
        <v>0</v>
      </c>
      <c r="AO238">
        <v>0</v>
      </c>
      <c r="AP238" s="2">
        <v>42831</v>
      </c>
      <c r="AQ238" t="s">
        <v>72</v>
      </c>
      <c r="AR238" t="s">
        <v>72</v>
      </c>
      <c r="AS238">
        <v>357</v>
      </c>
      <c r="AT238" s="4">
        <v>42774</v>
      </c>
      <c r="AU238" t="s">
        <v>73</v>
      </c>
      <c r="AV238">
        <v>357</v>
      </c>
      <c r="AW238" s="4">
        <v>42774</v>
      </c>
      <c r="BD238">
        <v>0</v>
      </c>
      <c r="BN238" t="s">
        <v>74</v>
      </c>
    </row>
    <row r="239" spans="1:66">
      <c r="A239">
        <v>100210</v>
      </c>
      <c r="B239" t="s">
        <v>113</v>
      </c>
      <c r="C239" s="1">
        <v>43300101</v>
      </c>
      <c r="D239" t="s">
        <v>67</v>
      </c>
      <c r="H239" t="str">
        <f t="shared" si="30"/>
        <v>08082461008</v>
      </c>
      <c r="I239" t="str">
        <f t="shared" si="30"/>
        <v>08082461008</v>
      </c>
      <c r="K239" t="str">
        <f>""</f>
        <v/>
      </c>
      <c r="M239" t="s">
        <v>68</v>
      </c>
      <c r="N239" t="str">
        <f t="shared" si="29"/>
        <v>FOR</v>
      </c>
      <c r="O239" t="s">
        <v>69</v>
      </c>
      <c r="P239" t="s">
        <v>75</v>
      </c>
      <c r="Q239">
        <v>2016</v>
      </c>
      <c r="R239" s="4">
        <v>42513</v>
      </c>
      <c r="S239" s="2">
        <v>42515</v>
      </c>
      <c r="T239" s="2">
        <v>42513</v>
      </c>
      <c r="U239" s="4">
        <v>42573</v>
      </c>
      <c r="V239" t="s">
        <v>71</v>
      </c>
      <c r="W239" t="str">
        <f>"            16074994"</f>
        <v xml:space="preserve">            16074994</v>
      </c>
      <c r="X239" s="1">
        <v>3812.27</v>
      </c>
      <c r="Y239">
        <v>0</v>
      </c>
      <c r="Z239" s="5">
        <v>3124.8</v>
      </c>
      <c r="AA239" s="3">
        <v>201</v>
      </c>
      <c r="AB239" s="5">
        <v>628084.80000000005</v>
      </c>
      <c r="AC239" s="1">
        <v>3124.8</v>
      </c>
      <c r="AD239">
        <v>201</v>
      </c>
      <c r="AE239" s="1">
        <v>628084.80000000005</v>
      </c>
      <c r="AF239">
        <v>0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 s="2">
        <v>42831</v>
      </c>
      <c r="AQ239" t="s">
        <v>72</v>
      </c>
      <c r="AR239" t="s">
        <v>72</v>
      </c>
      <c r="AS239">
        <v>357</v>
      </c>
      <c r="AT239" s="4">
        <v>42774</v>
      </c>
      <c r="AU239" t="s">
        <v>73</v>
      </c>
      <c r="AV239">
        <v>357</v>
      </c>
      <c r="AW239" s="4">
        <v>42774</v>
      </c>
      <c r="BD239">
        <v>0</v>
      </c>
      <c r="BN239" t="s">
        <v>74</v>
      </c>
    </row>
    <row r="240" spans="1:66">
      <c r="A240">
        <v>100210</v>
      </c>
      <c r="B240" t="s">
        <v>113</v>
      </c>
      <c r="C240" s="1">
        <v>43300101</v>
      </c>
      <c r="D240" t="s">
        <v>67</v>
      </c>
      <c r="H240" t="str">
        <f t="shared" si="30"/>
        <v>08082461008</v>
      </c>
      <c r="I240" t="str">
        <f t="shared" si="30"/>
        <v>08082461008</v>
      </c>
      <c r="K240" t="str">
        <f>""</f>
        <v/>
      </c>
      <c r="M240" t="s">
        <v>68</v>
      </c>
      <c r="N240" t="str">
        <f t="shared" si="29"/>
        <v>FOR</v>
      </c>
      <c r="O240" t="s">
        <v>69</v>
      </c>
      <c r="P240" t="s">
        <v>75</v>
      </c>
      <c r="Q240">
        <v>2016</v>
      </c>
      <c r="R240" s="4">
        <v>42514</v>
      </c>
      <c r="S240" s="2">
        <v>42515</v>
      </c>
      <c r="T240" s="2">
        <v>42514</v>
      </c>
      <c r="U240" s="4">
        <v>42574</v>
      </c>
      <c r="V240" t="s">
        <v>71</v>
      </c>
      <c r="W240" t="str">
        <f>"            16075772"</f>
        <v xml:space="preserve">            16075772</v>
      </c>
      <c r="X240">
        <v>217.4</v>
      </c>
      <c r="Y240">
        <v>0</v>
      </c>
      <c r="Z240" s="5">
        <v>178.2</v>
      </c>
      <c r="AA240" s="3">
        <v>200</v>
      </c>
      <c r="AB240" s="5">
        <v>35640</v>
      </c>
      <c r="AC240">
        <v>178.2</v>
      </c>
      <c r="AD240">
        <v>200</v>
      </c>
      <c r="AE240" s="1">
        <v>35640</v>
      </c>
      <c r="AF240">
        <v>0</v>
      </c>
      <c r="AJ240">
        <v>0</v>
      </c>
      <c r="AK240">
        <v>0</v>
      </c>
      <c r="AL240">
        <v>0</v>
      </c>
      <c r="AM240">
        <v>0</v>
      </c>
      <c r="AN240">
        <v>0</v>
      </c>
      <c r="AO240">
        <v>0</v>
      </c>
      <c r="AP240" s="2">
        <v>42831</v>
      </c>
      <c r="AQ240" t="s">
        <v>72</v>
      </c>
      <c r="AR240" t="s">
        <v>72</v>
      </c>
      <c r="AS240">
        <v>357</v>
      </c>
      <c r="AT240" s="4">
        <v>42774</v>
      </c>
      <c r="AU240" t="s">
        <v>73</v>
      </c>
      <c r="AV240">
        <v>357</v>
      </c>
      <c r="AW240" s="4">
        <v>42774</v>
      </c>
      <c r="BD240">
        <v>0</v>
      </c>
      <c r="BN240" t="s">
        <v>74</v>
      </c>
    </row>
    <row r="241" spans="1:66">
      <c r="A241">
        <v>100210</v>
      </c>
      <c r="B241" t="s">
        <v>113</v>
      </c>
      <c r="C241" s="1">
        <v>43300101</v>
      </c>
      <c r="D241" t="s">
        <v>67</v>
      </c>
      <c r="H241" t="str">
        <f t="shared" si="30"/>
        <v>08082461008</v>
      </c>
      <c r="I241" t="str">
        <f t="shared" si="30"/>
        <v>08082461008</v>
      </c>
      <c r="K241" t="str">
        <f>""</f>
        <v/>
      </c>
      <c r="M241" t="s">
        <v>68</v>
      </c>
      <c r="N241" t="str">
        <f t="shared" si="29"/>
        <v>FOR</v>
      </c>
      <c r="O241" t="s">
        <v>69</v>
      </c>
      <c r="P241" t="s">
        <v>75</v>
      </c>
      <c r="Q241">
        <v>2016</v>
      </c>
      <c r="R241" s="4">
        <v>42514</v>
      </c>
      <c r="S241" s="2">
        <v>42515</v>
      </c>
      <c r="T241" s="2">
        <v>42514</v>
      </c>
      <c r="U241" s="4">
        <v>42574</v>
      </c>
      <c r="V241" t="s">
        <v>71</v>
      </c>
      <c r="W241" t="str">
        <f>"            16075773"</f>
        <v xml:space="preserve">            16075773</v>
      </c>
      <c r="X241" s="1">
        <v>1383.48</v>
      </c>
      <c r="Y241">
        <v>0</v>
      </c>
      <c r="Z241" s="5">
        <v>1134</v>
      </c>
      <c r="AA241" s="3">
        <v>200</v>
      </c>
      <c r="AB241" s="5">
        <v>226800</v>
      </c>
      <c r="AC241" s="1">
        <v>1134</v>
      </c>
      <c r="AD241">
        <v>200</v>
      </c>
      <c r="AE241" s="1">
        <v>226800</v>
      </c>
      <c r="AF241">
        <v>0</v>
      </c>
      <c r="AJ241">
        <v>0</v>
      </c>
      <c r="AK241">
        <v>0</v>
      </c>
      <c r="AL241">
        <v>0</v>
      </c>
      <c r="AM241">
        <v>0</v>
      </c>
      <c r="AN241">
        <v>0</v>
      </c>
      <c r="AO241">
        <v>0</v>
      </c>
      <c r="AP241" s="2">
        <v>42831</v>
      </c>
      <c r="AQ241" t="s">
        <v>72</v>
      </c>
      <c r="AR241" t="s">
        <v>72</v>
      </c>
      <c r="AS241">
        <v>357</v>
      </c>
      <c r="AT241" s="4">
        <v>42774</v>
      </c>
      <c r="AU241" t="s">
        <v>73</v>
      </c>
      <c r="AV241">
        <v>357</v>
      </c>
      <c r="AW241" s="4">
        <v>42774</v>
      </c>
      <c r="BD241">
        <v>0</v>
      </c>
      <c r="BN241" t="s">
        <v>74</v>
      </c>
    </row>
    <row r="242" spans="1:66">
      <c r="A242">
        <v>100210</v>
      </c>
      <c r="B242" t="s">
        <v>113</v>
      </c>
      <c r="C242" s="1">
        <v>43300101</v>
      </c>
      <c r="D242" t="s">
        <v>67</v>
      </c>
      <c r="H242" t="str">
        <f t="shared" si="30"/>
        <v>08082461008</v>
      </c>
      <c r="I242" t="str">
        <f t="shared" si="30"/>
        <v>08082461008</v>
      </c>
      <c r="K242" t="str">
        <f>""</f>
        <v/>
      </c>
      <c r="M242" t="s">
        <v>68</v>
      </c>
      <c r="N242" t="str">
        <f t="shared" si="29"/>
        <v>FOR</v>
      </c>
      <c r="O242" t="s">
        <v>69</v>
      </c>
      <c r="P242" t="s">
        <v>75</v>
      </c>
      <c r="Q242">
        <v>2016</v>
      </c>
      <c r="R242" s="4">
        <v>42515</v>
      </c>
      <c r="S242" s="2">
        <v>42516</v>
      </c>
      <c r="T242" s="2">
        <v>42515</v>
      </c>
      <c r="U242" s="4">
        <v>42575</v>
      </c>
      <c r="V242" t="s">
        <v>71</v>
      </c>
      <c r="W242" t="str">
        <f>"            16076452"</f>
        <v xml:space="preserve">            16076452</v>
      </c>
      <c r="X242">
        <v>644.79999999999995</v>
      </c>
      <c r="Y242">
        <v>0</v>
      </c>
      <c r="Z242" s="5">
        <v>620</v>
      </c>
      <c r="AA242" s="3">
        <v>199</v>
      </c>
      <c r="AB242" s="5">
        <v>123380</v>
      </c>
      <c r="AC242">
        <v>620</v>
      </c>
      <c r="AD242">
        <v>199</v>
      </c>
      <c r="AE242" s="1">
        <v>123380</v>
      </c>
      <c r="AF242">
        <v>0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 s="2">
        <v>42831</v>
      </c>
      <c r="AQ242" t="s">
        <v>72</v>
      </c>
      <c r="AR242" t="s">
        <v>72</v>
      </c>
      <c r="AS242">
        <v>357</v>
      </c>
      <c r="AT242" s="4">
        <v>42774</v>
      </c>
      <c r="AU242" t="s">
        <v>73</v>
      </c>
      <c r="AV242">
        <v>357</v>
      </c>
      <c r="AW242" s="4">
        <v>42774</v>
      </c>
      <c r="BD242">
        <v>0</v>
      </c>
      <c r="BN242" t="s">
        <v>74</v>
      </c>
    </row>
    <row r="243" spans="1:66">
      <c r="A243">
        <v>100210</v>
      </c>
      <c r="B243" t="s">
        <v>113</v>
      </c>
      <c r="C243" s="1">
        <v>43300101</v>
      </c>
      <c r="D243" t="s">
        <v>67</v>
      </c>
      <c r="H243" t="str">
        <f t="shared" si="30"/>
        <v>08082461008</v>
      </c>
      <c r="I243" t="str">
        <f t="shared" si="30"/>
        <v>08082461008</v>
      </c>
      <c r="K243" t="str">
        <f>""</f>
        <v/>
      </c>
      <c r="M243" t="s">
        <v>68</v>
      </c>
      <c r="N243" t="str">
        <f t="shared" si="29"/>
        <v>FOR</v>
      </c>
      <c r="O243" t="s">
        <v>69</v>
      </c>
      <c r="P243" t="s">
        <v>75</v>
      </c>
      <c r="Q243">
        <v>2016</v>
      </c>
      <c r="R243" s="4">
        <v>42520</v>
      </c>
      <c r="S243" s="2">
        <v>42522</v>
      </c>
      <c r="T243" s="2">
        <v>42520</v>
      </c>
      <c r="U243" s="4">
        <v>42580</v>
      </c>
      <c r="V243" t="s">
        <v>71</v>
      </c>
      <c r="W243" t="str">
        <f>"            16079327"</f>
        <v xml:space="preserve">            16079327</v>
      </c>
      <c r="X243">
        <v>93.11</v>
      </c>
      <c r="Y243">
        <v>0</v>
      </c>
      <c r="Z243" s="5">
        <v>76.319999999999993</v>
      </c>
      <c r="AA243" s="3">
        <v>194</v>
      </c>
      <c r="AB243" s="5">
        <v>14806.08</v>
      </c>
      <c r="AC243">
        <v>76.319999999999993</v>
      </c>
      <c r="AD243">
        <v>194</v>
      </c>
      <c r="AE243" s="1">
        <v>14806.08</v>
      </c>
      <c r="AF243">
        <v>0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 s="2">
        <v>42831</v>
      </c>
      <c r="AQ243" t="s">
        <v>72</v>
      </c>
      <c r="AR243" t="s">
        <v>72</v>
      </c>
      <c r="AS243">
        <v>357</v>
      </c>
      <c r="AT243" s="4">
        <v>42774</v>
      </c>
      <c r="AU243" t="s">
        <v>73</v>
      </c>
      <c r="AV243">
        <v>357</v>
      </c>
      <c r="AW243" s="4">
        <v>42774</v>
      </c>
      <c r="BD243">
        <v>0</v>
      </c>
      <c r="BN243" t="s">
        <v>74</v>
      </c>
    </row>
    <row r="244" spans="1:66">
      <c r="A244">
        <v>100210</v>
      </c>
      <c r="B244" t="s">
        <v>113</v>
      </c>
      <c r="C244" s="1">
        <v>43300101</v>
      </c>
      <c r="D244" t="s">
        <v>67</v>
      </c>
      <c r="H244" t="str">
        <f t="shared" si="30"/>
        <v>08082461008</v>
      </c>
      <c r="I244" t="str">
        <f t="shared" si="30"/>
        <v>08082461008</v>
      </c>
      <c r="K244" t="str">
        <f>""</f>
        <v/>
      </c>
      <c r="M244" t="s">
        <v>68</v>
      </c>
      <c r="N244" t="str">
        <f t="shared" si="29"/>
        <v>FOR</v>
      </c>
      <c r="O244" t="s">
        <v>69</v>
      </c>
      <c r="P244" t="s">
        <v>75</v>
      </c>
      <c r="Q244">
        <v>2016</v>
      </c>
      <c r="R244" s="4">
        <v>42520</v>
      </c>
      <c r="S244" s="2">
        <v>42522</v>
      </c>
      <c r="T244" s="2">
        <v>42520</v>
      </c>
      <c r="U244" s="4">
        <v>42580</v>
      </c>
      <c r="V244" t="s">
        <v>71</v>
      </c>
      <c r="W244" t="str">
        <f>"            16079436"</f>
        <v xml:space="preserve">            16079436</v>
      </c>
      <c r="X244" s="1">
        <v>1635.29</v>
      </c>
      <c r="Y244">
        <v>0</v>
      </c>
      <c r="Z244" s="5">
        <v>1340.4</v>
      </c>
      <c r="AA244" s="3">
        <v>194</v>
      </c>
      <c r="AB244" s="5">
        <v>260037.6</v>
      </c>
      <c r="AC244" s="1">
        <v>1340.4</v>
      </c>
      <c r="AD244">
        <v>194</v>
      </c>
      <c r="AE244" s="1">
        <v>260037.6</v>
      </c>
      <c r="AF244">
        <v>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 s="2">
        <v>42831</v>
      </c>
      <c r="AQ244" t="s">
        <v>72</v>
      </c>
      <c r="AR244" t="s">
        <v>72</v>
      </c>
      <c r="AS244">
        <v>357</v>
      </c>
      <c r="AT244" s="4">
        <v>42774</v>
      </c>
      <c r="AU244" t="s">
        <v>73</v>
      </c>
      <c r="AV244">
        <v>357</v>
      </c>
      <c r="AW244" s="4">
        <v>42774</v>
      </c>
      <c r="BD244">
        <v>0</v>
      </c>
      <c r="BN244" t="s">
        <v>74</v>
      </c>
    </row>
    <row r="245" spans="1:66">
      <c r="A245">
        <v>100210</v>
      </c>
      <c r="B245" t="s">
        <v>113</v>
      </c>
      <c r="C245" s="1">
        <v>43300101</v>
      </c>
      <c r="D245" t="s">
        <v>67</v>
      </c>
      <c r="H245" t="str">
        <f t="shared" si="30"/>
        <v>08082461008</v>
      </c>
      <c r="I245" t="str">
        <f t="shared" si="30"/>
        <v>08082461008</v>
      </c>
      <c r="K245" t="str">
        <f>""</f>
        <v/>
      </c>
      <c r="M245" t="s">
        <v>68</v>
      </c>
      <c r="N245" t="str">
        <f t="shared" si="29"/>
        <v>FOR</v>
      </c>
      <c r="O245" t="s">
        <v>69</v>
      </c>
      <c r="P245" t="s">
        <v>75</v>
      </c>
      <c r="Q245">
        <v>2016</v>
      </c>
      <c r="R245" s="4">
        <v>42521</v>
      </c>
      <c r="S245" s="2">
        <v>42522</v>
      </c>
      <c r="T245" s="2">
        <v>42521</v>
      </c>
      <c r="U245" s="4">
        <v>42581</v>
      </c>
      <c r="V245" t="s">
        <v>71</v>
      </c>
      <c r="W245" t="str">
        <f>"            16079876"</f>
        <v xml:space="preserve">            16079876</v>
      </c>
      <c r="X245">
        <v>325.89</v>
      </c>
      <c r="Y245">
        <v>0</v>
      </c>
      <c r="Z245" s="5">
        <v>267.12</v>
      </c>
      <c r="AA245" s="3">
        <v>193</v>
      </c>
      <c r="AB245" s="5">
        <v>51554.16</v>
      </c>
      <c r="AC245">
        <v>267.12</v>
      </c>
      <c r="AD245">
        <v>193</v>
      </c>
      <c r="AE245" s="1">
        <v>51554.16</v>
      </c>
      <c r="AF245">
        <v>0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 s="2">
        <v>42831</v>
      </c>
      <c r="AQ245" t="s">
        <v>72</v>
      </c>
      <c r="AR245" t="s">
        <v>72</v>
      </c>
      <c r="AS245">
        <v>357</v>
      </c>
      <c r="AT245" s="4">
        <v>42774</v>
      </c>
      <c r="AU245" t="s">
        <v>73</v>
      </c>
      <c r="AV245">
        <v>357</v>
      </c>
      <c r="AW245" s="4">
        <v>42774</v>
      </c>
      <c r="BD245">
        <v>0</v>
      </c>
      <c r="BN245" t="s">
        <v>74</v>
      </c>
    </row>
    <row r="246" spans="1:66">
      <c r="A246">
        <v>100210</v>
      </c>
      <c r="B246" t="s">
        <v>113</v>
      </c>
      <c r="C246" s="1">
        <v>43300101</v>
      </c>
      <c r="D246" t="s">
        <v>67</v>
      </c>
      <c r="H246" t="str">
        <f t="shared" si="30"/>
        <v>08082461008</v>
      </c>
      <c r="I246" t="str">
        <f t="shared" si="30"/>
        <v>08082461008</v>
      </c>
      <c r="K246" t="str">
        <f>""</f>
        <v/>
      </c>
      <c r="M246" t="s">
        <v>68</v>
      </c>
      <c r="N246" t="str">
        <f t="shared" si="29"/>
        <v>FOR</v>
      </c>
      <c r="O246" t="s">
        <v>69</v>
      </c>
      <c r="P246" t="s">
        <v>75</v>
      </c>
      <c r="Q246">
        <v>2016</v>
      </c>
      <c r="R246" s="4">
        <v>42521</v>
      </c>
      <c r="S246" s="2">
        <v>42522</v>
      </c>
      <c r="T246" s="2">
        <v>42521</v>
      </c>
      <c r="U246" s="4">
        <v>42581</v>
      </c>
      <c r="V246" t="s">
        <v>71</v>
      </c>
      <c r="W246" t="str">
        <f>"            16080117"</f>
        <v xml:space="preserve">            16080117</v>
      </c>
      <c r="X246" s="1">
        <v>5885.28</v>
      </c>
      <c r="Y246">
        <v>0</v>
      </c>
      <c r="Z246" s="5">
        <v>4824</v>
      </c>
      <c r="AA246" s="3">
        <v>193</v>
      </c>
      <c r="AB246" s="5">
        <v>931032</v>
      </c>
      <c r="AC246" s="1">
        <v>4824</v>
      </c>
      <c r="AD246">
        <v>193</v>
      </c>
      <c r="AE246" s="1">
        <v>931032</v>
      </c>
      <c r="AF246">
        <v>0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 s="2">
        <v>42831</v>
      </c>
      <c r="AQ246" t="s">
        <v>72</v>
      </c>
      <c r="AR246" t="s">
        <v>72</v>
      </c>
      <c r="AS246">
        <v>357</v>
      </c>
      <c r="AT246" s="4">
        <v>42774</v>
      </c>
      <c r="AU246" t="s">
        <v>73</v>
      </c>
      <c r="AV246">
        <v>357</v>
      </c>
      <c r="AW246" s="4">
        <v>42774</v>
      </c>
      <c r="BD246">
        <v>0</v>
      </c>
      <c r="BN246" t="s">
        <v>74</v>
      </c>
    </row>
    <row r="247" spans="1:66">
      <c r="A247">
        <v>100210</v>
      </c>
      <c r="B247" t="s">
        <v>113</v>
      </c>
      <c r="C247" s="1">
        <v>43300101</v>
      </c>
      <c r="D247" t="s">
        <v>67</v>
      </c>
      <c r="H247" t="str">
        <f t="shared" si="30"/>
        <v>08082461008</v>
      </c>
      <c r="I247" t="str">
        <f t="shared" si="30"/>
        <v>08082461008</v>
      </c>
      <c r="K247" t="str">
        <f>""</f>
        <v/>
      </c>
      <c r="M247" t="s">
        <v>68</v>
      </c>
      <c r="N247" t="str">
        <f t="shared" si="29"/>
        <v>FOR</v>
      </c>
      <c r="O247" t="s">
        <v>69</v>
      </c>
      <c r="P247" t="s">
        <v>75</v>
      </c>
      <c r="Q247">
        <v>2016</v>
      </c>
      <c r="R247" s="4">
        <v>42527</v>
      </c>
      <c r="S247" s="2">
        <v>42530</v>
      </c>
      <c r="T247" s="2">
        <v>42527</v>
      </c>
      <c r="U247" s="4">
        <v>42587</v>
      </c>
      <c r="V247" t="s">
        <v>71</v>
      </c>
      <c r="W247" t="str">
        <f>"            16081783"</f>
        <v xml:space="preserve">            16081783</v>
      </c>
      <c r="X247">
        <v>260.88</v>
      </c>
      <c r="Y247">
        <v>0</v>
      </c>
      <c r="Z247" s="5">
        <v>213.84</v>
      </c>
      <c r="AA247" s="3">
        <v>210</v>
      </c>
      <c r="AB247" s="5">
        <v>44906.400000000001</v>
      </c>
      <c r="AC247">
        <v>213.84</v>
      </c>
      <c r="AD247">
        <v>210</v>
      </c>
      <c r="AE247" s="1">
        <v>44906.400000000001</v>
      </c>
      <c r="AF247">
        <v>47.04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 s="2">
        <v>42831</v>
      </c>
      <c r="AQ247" t="s">
        <v>72</v>
      </c>
      <c r="AR247" t="s">
        <v>72</v>
      </c>
      <c r="AS247">
        <v>702</v>
      </c>
      <c r="AT247" s="4">
        <v>42797</v>
      </c>
      <c r="AU247" t="s">
        <v>73</v>
      </c>
      <c r="AV247">
        <v>702</v>
      </c>
      <c r="AW247" s="4">
        <v>42797</v>
      </c>
      <c r="BD247">
        <v>47.04</v>
      </c>
      <c r="BN247" t="s">
        <v>74</v>
      </c>
    </row>
    <row r="248" spans="1:66">
      <c r="A248">
        <v>100210</v>
      </c>
      <c r="B248" t="s">
        <v>113</v>
      </c>
      <c r="C248" s="1">
        <v>43300101</v>
      </c>
      <c r="D248" t="s">
        <v>67</v>
      </c>
      <c r="H248" t="str">
        <f t="shared" si="30"/>
        <v>08082461008</v>
      </c>
      <c r="I248" t="str">
        <f t="shared" si="30"/>
        <v>08082461008</v>
      </c>
      <c r="K248" t="str">
        <f>""</f>
        <v/>
      </c>
      <c r="M248" t="s">
        <v>68</v>
      </c>
      <c r="N248" t="str">
        <f t="shared" si="29"/>
        <v>FOR</v>
      </c>
      <c r="O248" t="s">
        <v>69</v>
      </c>
      <c r="P248" t="s">
        <v>75</v>
      </c>
      <c r="Q248">
        <v>2016</v>
      </c>
      <c r="R248" s="4">
        <v>42527</v>
      </c>
      <c r="S248" s="2">
        <v>42530</v>
      </c>
      <c r="T248" s="2">
        <v>42527</v>
      </c>
      <c r="U248" s="4">
        <v>42587</v>
      </c>
      <c r="V248" t="s">
        <v>71</v>
      </c>
      <c r="W248" t="str">
        <f>"            16081784"</f>
        <v xml:space="preserve">            16081784</v>
      </c>
      <c r="X248">
        <v>744.44</v>
      </c>
      <c r="Y248">
        <v>0</v>
      </c>
      <c r="Z248" s="5">
        <v>610.20000000000005</v>
      </c>
      <c r="AA248" s="3">
        <v>210</v>
      </c>
      <c r="AB248" s="5">
        <v>128142</v>
      </c>
      <c r="AC248">
        <v>610.20000000000005</v>
      </c>
      <c r="AD248">
        <v>210</v>
      </c>
      <c r="AE248" s="1">
        <v>128142</v>
      </c>
      <c r="AF248">
        <v>134.24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 s="2">
        <v>42831</v>
      </c>
      <c r="AQ248" t="s">
        <v>72</v>
      </c>
      <c r="AR248" t="s">
        <v>72</v>
      </c>
      <c r="AS248">
        <v>702</v>
      </c>
      <c r="AT248" s="4">
        <v>42797</v>
      </c>
      <c r="AU248" t="s">
        <v>73</v>
      </c>
      <c r="AV248">
        <v>702</v>
      </c>
      <c r="AW248" s="4">
        <v>42797</v>
      </c>
      <c r="BD248">
        <v>134.24</v>
      </c>
      <c r="BN248" t="s">
        <v>74</v>
      </c>
    </row>
    <row r="249" spans="1:66">
      <c r="A249">
        <v>100210</v>
      </c>
      <c r="B249" t="s">
        <v>113</v>
      </c>
      <c r="C249" s="1">
        <v>43300101</v>
      </c>
      <c r="D249" t="s">
        <v>67</v>
      </c>
      <c r="H249" t="str">
        <f t="shared" si="30"/>
        <v>08082461008</v>
      </c>
      <c r="I249" t="str">
        <f t="shared" si="30"/>
        <v>08082461008</v>
      </c>
      <c r="K249" t="str">
        <f>""</f>
        <v/>
      </c>
      <c r="M249" t="s">
        <v>68</v>
      </c>
      <c r="N249" t="str">
        <f t="shared" si="29"/>
        <v>FOR</v>
      </c>
      <c r="O249" t="s">
        <v>69</v>
      </c>
      <c r="P249" t="s">
        <v>75</v>
      </c>
      <c r="Q249">
        <v>2016</v>
      </c>
      <c r="R249" s="4">
        <v>42528</v>
      </c>
      <c r="S249" s="2">
        <v>42530</v>
      </c>
      <c r="T249" s="2">
        <v>42528</v>
      </c>
      <c r="U249" s="4">
        <v>42588</v>
      </c>
      <c r="V249" t="s">
        <v>71</v>
      </c>
      <c r="W249" t="str">
        <f>"            16082295"</f>
        <v xml:space="preserve">            16082295</v>
      </c>
      <c r="X249" s="1">
        <v>1976</v>
      </c>
      <c r="Y249">
        <v>0</v>
      </c>
      <c r="Z249" s="5">
        <v>1900</v>
      </c>
      <c r="AA249" s="3">
        <v>209</v>
      </c>
      <c r="AB249" s="5">
        <v>397100</v>
      </c>
      <c r="AC249" s="1">
        <v>1900</v>
      </c>
      <c r="AD249">
        <v>209</v>
      </c>
      <c r="AE249" s="1">
        <v>397100</v>
      </c>
      <c r="AF249">
        <v>76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 s="2">
        <v>42831</v>
      </c>
      <c r="AQ249" t="s">
        <v>72</v>
      </c>
      <c r="AR249" t="s">
        <v>72</v>
      </c>
      <c r="AS249">
        <v>702</v>
      </c>
      <c r="AT249" s="4">
        <v>42797</v>
      </c>
      <c r="AU249" t="s">
        <v>73</v>
      </c>
      <c r="AV249">
        <v>702</v>
      </c>
      <c r="AW249" s="4">
        <v>42797</v>
      </c>
      <c r="BD249">
        <v>76</v>
      </c>
      <c r="BN249" t="s">
        <v>74</v>
      </c>
    </row>
    <row r="250" spans="1:66">
      <c r="A250">
        <v>100210</v>
      </c>
      <c r="B250" t="s">
        <v>113</v>
      </c>
      <c r="C250" s="1">
        <v>43300101</v>
      </c>
      <c r="D250" t="s">
        <v>67</v>
      </c>
      <c r="H250" t="str">
        <f t="shared" si="30"/>
        <v>08082461008</v>
      </c>
      <c r="I250" t="str">
        <f t="shared" si="30"/>
        <v>08082461008</v>
      </c>
      <c r="K250" t="str">
        <f>""</f>
        <v/>
      </c>
      <c r="M250" t="s">
        <v>68</v>
      </c>
      <c r="N250" t="str">
        <f t="shared" si="29"/>
        <v>FOR</v>
      </c>
      <c r="O250" t="s">
        <v>69</v>
      </c>
      <c r="P250" t="s">
        <v>75</v>
      </c>
      <c r="Q250">
        <v>2016</v>
      </c>
      <c r="R250" s="4">
        <v>42534</v>
      </c>
      <c r="S250" s="2">
        <v>42535</v>
      </c>
      <c r="T250" s="2">
        <v>42535</v>
      </c>
      <c r="U250" s="4">
        <v>42595</v>
      </c>
      <c r="V250" t="s">
        <v>71</v>
      </c>
      <c r="W250" t="str">
        <f>"            16084834"</f>
        <v xml:space="preserve">            16084834</v>
      </c>
      <c r="X250">
        <v>644.79999999999995</v>
      </c>
      <c r="Y250">
        <v>0</v>
      </c>
      <c r="Z250" s="5">
        <v>620</v>
      </c>
      <c r="AA250" s="3">
        <v>202</v>
      </c>
      <c r="AB250" s="5">
        <v>125240</v>
      </c>
      <c r="AC250">
        <v>620</v>
      </c>
      <c r="AD250">
        <v>202</v>
      </c>
      <c r="AE250" s="1">
        <v>125240</v>
      </c>
      <c r="AF250">
        <v>24.8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 s="2">
        <v>42831</v>
      </c>
      <c r="AQ250" t="s">
        <v>72</v>
      </c>
      <c r="AR250" t="s">
        <v>72</v>
      </c>
      <c r="AS250">
        <v>702</v>
      </c>
      <c r="AT250" s="4">
        <v>42797</v>
      </c>
      <c r="AU250" t="s">
        <v>73</v>
      </c>
      <c r="AV250">
        <v>702</v>
      </c>
      <c r="AW250" s="4">
        <v>42797</v>
      </c>
      <c r="BD250">
        <v>24.8</v>
      </c>
      <c r="BN250" t="s">
        <v>74</v>
      </c>
    </row>
    <row r="251" spans="1:66">
      <c r="A251">
        <v>100210</v>
      </c>
      <c r="B251" t="s">
        <v>113</v>
      </c>
      <c r="C251" s="1">
        <v>43300101</v>
      </c>
      <c r="D251" t="s">
        <v>67</v>
      </c>
      <c r="H251" t="str">
        <f t="shared" si="30"/>
        <v>08082461008</v>
      </c>
      <c r="I251" t="str">
        <f t="shared" si="30"/>
        <v>08082461008</v>
      </c>
      <c r="K251" t="str">
        <f>""</f>
        <v/>
      </c>
      <c r="M251" t="s">
        <v>68</v>
      </c>
      <c r="N251" t="str">
        <f t="shared" si="29"/>
        <v>FOR</v>
      </c>
      <c r="O251" t="s">
        <v>69</v>
      </c>
      <c r="P251" t="s">
        <v>75</v>
      </c>
      <c r="Q251">
        <v>2016</v>
      </c>
      <c r="R251" s="4">
        <v>42537</v>
      </c>
      <c r="S251" s="2">
        <v>42543</v>
      </c>
      <c r="T251" s="2">
        <v>42537</v>
      </c>
      <c r="U251" s="4">
        <v>42597</v>
      </c>
      <c r="V251" t="s">
        <v>71</v>
      </c>
      <c r="W251" t="str">
        <f>"            16087074"</f>
        <v xml:space="preserve">            16087074</v>
      </c>
      <c r="X251" s="1">
        <v>1797.41</v>
      </c>
      <c r="Y251">
        <v>0</v>
      </c>
      <c r="Z251" s="5">
        <v>1473.3</v>
      </c>
      <c r="AA251" s="3">
        <v>200</v>
      </c>
      <c r="AB251" s="5">
        <v>294660</v>
      </c>
      <c r="AC251" s="1">
        <v>1473.3</v>
      </c>
      <c r="AD251">
        <v>200</v>
      </c>
      <c r="AE251" s="1">
        <v>294660</v>
      </c>
      <c r="AF251">
        <v>324.11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 s="2">
        <v>42831</v>
      </c>
      <c r="AQ251" t="s">
        <v>72</v>
      </c>
      <c r="AR251" t="s">
        <v>72</v>
      </c>
      <c r="AS251">
        <v>702</v>
      </c>
      <c r="AT251" s="4">
        <v>42797</v>
      </c>
      <c r="AU251" t="s">
        <v>73</v>
      </c>
      <c r="AV251">
        <v>702</v>
      </c>
      <c r="AW251" s="4">
        <v>42797</v>
      </c>
      <c r="BD251">
        <v>324.11</v>
      </c>
      <c r="BN251" t="s">
        <v>74</v>
      </c>
    </row>
    <row r="252" spans="1:66">
      <c r="A252">
        <v>100210</v>
      </c>
      <c r="B252" t="s">
        <v>113</v>
      </c>
      <c r="C252" s="1">
        <v>43300101</v>
      </c>
      <c r="D252" t="s">
        <v>67</v>
      </c>
      <c r="H252" t="str">
        <f t="shared" si="30"/>
        <v>08082461008</v>
      </c>
      <c r="I252" t="str">
        <f t="shared" si="30"/>
        <v>08082461008</v>
      </c>
      <c r="K252" t="str">
        <f>""</f>
        <v/>
      </c>
      <c r="M252" t="s">
        <v>68</v>
      </c>
      <c r="N252" t="str">
        <f t="shared" si="29"/>
        <v>FOR</v>
      </c>
      <c r="O252" t="s">
        <v>69</v>
      </c>
      <c r="P252" t="s">
        <v>75</v>
      </c>
      <c r="Q252">
        <v>2016</v>
      </c>
      <c r="R252" s="4">
        <v>42537</v>
      </c>
      <c r="S252" s="2">
        <v>42543</v>
      </c>
      <c r="T252" s="2">
        <v>42537</v>
      </c>
      <c r="U252" s="4">
        <v>42597</v>
      </c>
      <c r="V252" t="s">
        <v>71</v>
      </c>
      <c r="W252" t="str">
        <f>"            16087075"</f>
        <v xml:space="preserve">            16087075</v>
      </c>
      <c r="X252" s="1">
        <v>2316.79</v>
      </c>
      <c r="Y252">
        <v>0</v>
      </c>
      <c r="Z252" s="5">
        <v>1899</v>
      </c>
      <c r="AA252" s="3">
        <v>200</v>
      </c>
      <c r="AB252" s="5">
        <v>379800</v>
      </c>
      <c r="AC252" s="1">
        <v>1899</v>
      </c>
      <c r="AD252">
        <v>200</v>
      </c>
      <c r="AE252" s="1">
        <v>379800</v>
      </c>
      <c r="AF252">
        <v>417.79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 s="2">
        <v>42831</v>
      </c>
      <c r="AQ252" t="s">
        <v>72</v>
      </c>
      <c r="AR252" t="s">
        <v>72</v>
      </c>
      <c r="AS252">
        <v>702</v>
      </c>
      <c r="AT252" s="4">
        <v>42797</v>
      </c>
      <c r="AU252" t="s">
        <v>73</v>
      </c>
      <c r="AV252">
        <v>702</v>
      </c>
      <c r="AW252" s="4">
        <v>42797</v>
      </c>
      <c r="BD252">
        <v>417.79</v>
      </c>
      <c r="BN252" t="s">
        <v>74</v>
      </c>
    </row>
    <row r="253" spans="1:66">
      <c r="A253">
        <v>100210</v>
      </c>
      <c r="B253" t="s">
        <v>113</v>
      </c>
      <c r="C253" s="1">
        <v>43300101</v>
      </c>
      <c r="D253" t="s">
        <v>67</v>
      </c>
      <c r="H253" t="str">
        <f t="shared" si="30"/>
        <v>08082461008</v>
      </c>
      <c r="I253" t="str">
        <f t="shared" si="30"/>
        <v>08082461008</v>
      </c>
      <c r="K253" t="str">
        <f>""</f>
        <v/>
      </c>
      <c r="M253" t="s">
        <v>68</v>
      </c>
      <c r="N253" t="str">
        <f t="shared" si="29"/>
        <v>FOR</v>
      </c>
      <c r="O253" t="s">
        <v>69</v>
      </c>
      <c r="P253" t="s">
        <v>75</v>
      </c>
      <c r="Q253">
        <v>2016</v>
      </c>
      <c r="R253" s="4">
        <v>42538</v>
      </c>
      <c r="S253" s="2">
        <v>42543</v>
      </c>
      <c r="T253" s="2">
        <v>42538</v>
      </c>
      <c r="U253" s="4">
        <v>42598</v>
      </c>
      <c r="V253" t="s">
        <v>71</v>
      </c>
      <c r="W253" t="str">
        <f>"            16087693"</f>
        <v xml:space="preserve">            16087693</v>
      </c>
      <c r="X253">
        <v>732</v>
      </c>
      <c r="Y253">
        <v>0</v>
      </c>
      <c r="Z253" s="5">
        <v>600</v>
      </c>
      <c r="AA253" s="3">
        <v>199</v>
      </c>
      <c r="AB253" s="5">
        <v>119400</v>
      </c>
      <c r="AC253">
        <v>600</v>
      </c>
      <c r="AD253">
        <v>199</v>
      </c>
      <c r="AE253" s="1">
        <v>119400</v>
      </c>
      <c r="AF253">
        <v>132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 s="2">
        <v>42831</v>
      </c>
      <c r="AQ253" t="s">
        <v>72</v>
      </c>
      <c r="AR253" t="s">
        <v>72</v>
      </c>
      <c r="AS253">
        <v>702</v>
      </c>
      <c r="AT253" s="4">
        <v>42797</v>
      </c>
      <c r="AU253" t="s">
        <v>73</v>
      </c>
      <c r="AV253">
        <v>702</v>
      </c>
      <c r="AW253" s="4">
        <v>42797</v>
      </c>
      <c r="BD253">
        <v>132</v>
      </c>
      <c r="BN253" t="s">
        <v>74</v>
      </c>
    </row>
    <row r="254" spans="1:66">
      <c r="A254">
        <v>100210</v>
      </c>
      <c r="B254" t="s">
        <v>113</v>
      </c>
      <c r="C254" s="1">
        <v>43300101</v>
      </c>
      <c r="D254" t="s">
        <v>67</v>
      </c>
      <c r="H254" t="str">
        <f t="shared" si="30"/>
        <v>08082461008</v>
      </c>
      <c r="I254" t="str">
        <f t="shared" si="30"/>
        <v>08082461008</v>
      </c>
      <c r="K254" t="str">
        <f>""</f>
        <v/>
      </c>
      <c r="M254" t="s">
        <v>68</v>
      </c>
      <c r="N254" t="str">
        <f t="shared" si="29"/>
        <v>FOR</v>
      </c>
      <c r="O254" t="s">
        <v>69</v>
      </c>
      <c r="P254" t="s">
        <v>75</v>
      </c>
      <c r="Q254">
        <v>2016</v>
      </c>
      <c r="R254" s="4">
        <v>42544</v>
      </c>
      <c r="S254" s="2">
        <v>42550</v>
      </c>
      <c r="T254" s="2">
        <v>42545</v>
      </c>
      <c r="U254" s="4">
        <v>42605</v>
      </c>
      <c r="V254" t="s">
        <v>71</v>
      </c>
      <c r="W254" t="str">
        <f>"            16090530"</f>
        <v xml:space="preserve">            16090530</v>
      </c>
      <c r="X254" s="1">
        <v>2360.6999999999998</v>
      </c>
      <c r="Y254">
        <v>0</v>
      </c>
      <c r="Z254" s="5">
        <v>1935</v>
      </c>
      <c r="AA254" s="3">
        <v>192</v>
      </c>
      <c r="AB254" s="5">
        <v>371520</v>
      </c>
      <c r="AC254" s="1">
        <v>1935</v>
      </c>
      <c r="AD254">
        <v>192</v>
      </c>
      <c r="AE254" s="1">
        <v>371520</v>
      </c>
      <c r="AF254">
        <v>425.7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 s="2">
        <v>42831</v>
      </c>
      <c r="AQ254" t="s">
        <v>72</v>
      </c>
      <c r="AR254" t="s">
        <v>72</v>
      </c>
      <c r="AS254">
        <v>702</v>
      </c>
      <c r="AT254" s="4">
        <v>42797</v>
      </c>
      <c r="AU254" t="s">
        <v>73</v>
      </c>
      <c r="AV254">
        <v>702</v>
      </c>
      <c r="AW254" s="4">
        <v>42797</v>
      </c>
      <c r="BD254">
        <v>425.7</v>
      </c>
      <c r="BN254" t="s">
        <v>74</v>
      </c>
    </row>
    <row r="255" spans="1:66">
      <c r="A255">
        <v>100210</v>
      </c>
      <c r="B255" t="s">
        <v>113</v>
      </c>
      <c r="C255" s="1">
        <v>43300101</v>
      </c>
      <c r="D255" t="s">
        <v>67</v>
      </c>
      <c r="H255" t="str">
        <f t="shared" si="30"/>
        <v>08082461008</v>
      </c>
      <c r="I255" t="str">
        <f t="shared" si="30"/>
        <v>08082461008</v>
      </c>
      <c r="K255" t="str">
        <f>""</f>
        <v/>
      </c>
      <c r="M255" t="s">
        <v>68</v>
      </c>
      <c r="N255" t="str">
        <f t="shared" si="29"/>
        <v>FOR</v>
      </c>
      <c r="O255" t="s">
        <v>69</v>
      </c>
      <c r="P255" t="s">
        <v>75</v>
      </c>
      <c r="Q255">
        <v>2016</v>
      </c>
      <c r="R255" s="4">
        <v>42545</v>
      </c>
      <c r="S255" s="2">
        <v>42550</v>
      </c>
      <c r="T255" s="2">
        <v>42545</v>
      </c>
      <c r="U255" s="4">
        <v>42605</v>
      </c>
      <c r="V255" t="s">
        <v>71</v>
      </c>
      <c r="W255" t="str">
        <f>"            16091077"</f>
        <v xml:space="preserve">            16091077</v>
      </c>
      <c r="X255" s="1">
        <v>9672</v>
      </c>
      <c r="Y255">
        <v>0</v>
      </c>
      <c r="Z255" s="5">
        <v>9300</v>
      </c>
      <c r="AA255" s="3">
        <v>192</v>
      </c>
      <c r="AB255" s="5">
        <v>1785600</v>
      </c>
      <c r="AC255" s="1">
        <v>9300</v>
      </c>
      <c r="AD255">
        <v>192</v>
      </c>
      <c r="AE255" s="1">
        <v>1785600</v>
      </c>
      <c r="AF255">
        <v>372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 s="2">
        <v>42831</v>
      </c>
      <c r="AQ255" t="s">
        <v>72</v>
      </c>
      <c r="AR255" t="s">
        <v>72</v>
      </c>
      <c r="AS255">
        <v>702</v>
      </c>
      <c r="AT255" s="4">
        <v>42797</v>
      </c>
      <c r="AU255" t="s">
        <v>73</v>
      </c>
      <c r="AV255">
        <v>702</v>
      </c>
      <c r="AW255" s="4">
        <v>42797</v>
      </c>
      <c r="BD255">
        <v>372</v>
      </c>
      <c r="BN255" t="s">
        <v>74</v>
      </c>
    </row>
    <row r="256" spans="1:66">
      <c r="A256">
        <v>100210</v>
      </c>
      <c r="B256" t="s">
        <v>113</v>
      </c>
      <c r="C256" s="1">
        <v>43300101</v>
      </c>
      <c r="D256" t="s">
        <v>67</v>
      </c>
      <c r="H256" t="str">
        <f t="shared" si="30"/>
        <v>08082461008</v>
      </c>
      <c r="I256" t="str">
        <f t="shared" si="30"/>
        <v>08082461008</v>
      </c>
      <c r="K256" t="str">
        <f>""</f>
        <v/>
      </c>
      <c r="M256" t="s">
        <v>68</v>
      </c>
      <c r="N256" t="str">
        <f t="shared" si="29"/>
        <v>FOR</v>
      </c>
      <c r="O256" t="s">
        <v>69</v>
      </c>
      <c r="P256" t="s">
        <v>75</v>
      </c>
      <c r="Q256">
        <v>2016</v>
      </c>
      <c r="R256" s="4">
        <v>42548</v>
      </c>
      <c r="S256" s="2">
        <v>42550</v>
      </c>
      <c r="T256" s="2">
        <v>42549</v>
      </c>
      <c r="U256" s="4">
        <v>42609</v>
      </c>
      <c r="V256" t="s">
        <v>71</v>
      </c>
      <c r="W256" t="str">
        <f>"            16092105"</f>
        <v xml:space="preserve">            16092105</v>
      </c>
      <c r="X256" s="1">
        <v>5877.11</v>
      </c>
      <c r="Y256">
        <v>0</v>
      </c>
      <c r="Z256" s="5">
        <v>4817.3</v>
      </c>
      <c r="AA256" s="3">
        <v>188</v>
      </c>
      <c r="AB256" s="5">
        <v>905652.4</v>
      </c>
      <c r="AC256" s="1">
        <v>4817.3</v>
      </c>
      <c r="AD256">
        <v>188</v>
      </c>
      <c r="AE256" s="1">
        <v>905652.4</v>
      </c>
      <c r="AF256" s="1">
        <v>1059.81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 s="2">
        <v>42831</v>
      </c>
      <c r="AQ256" t="s">
        <v>72</v>
      </c>
      <c r="AR256" t="s">
        <v>72</v>
      </c>
      <c r="AS256">
        <v>702</v>
      </c>
      <c r="AT256" s="4">
        <v>42797</v>
      </c>
      <c r="AU256" t="s">
        <v>73</v>
      </c>
      <c r="AV256">
        <v>702</v>
      </c>
      <c r="AW256" s="4">
        <v>42797</v>
      </c>
      <c r="BD256" s="1">
        <v>1059.81</v>
      </c>
      <c r="BN256" t="s">
        <v>74</v>
      </c>
    </row>
    <row r="257" spans="1:66">
      <c r="A257">
        <v>100210</v>
      </c>
      <c r="B257" t="s">
        <v>113</v>
      </c>
      <c r="C257" s="1">
        <v>43300101</v>
      </c>
      <c r="D257" t="s">
        <v>67</v>
      </c>
      <c r="H257" t="str">
        <f t="shared" si="30"/>
        <v>08082461008</v>
      </c>
      <c r="I257" t="str">
        <f t="shared" si="30"/>
        <v>08082461008</v>
      </c>
      <c r="K257" t="str">
        <f>""</f>
        <v/>
      </c>
      <c r="M257" t="s">
        <v>68</v>
      </c>
      <c r="N257" t="str">
        <f t="shared" si="29"/>
        <v>FOR</v>
      </c>
      <c r="O257" t="s">
        <v>69</v>
      </c>
      <c r="P257" t="s">
        <v>75</v>
      </c>
      <c r="Q257">
        <v>2016</v>
      </c>
      <c r="R257" s="4">
        <v>42549</v>
      </c>
      <c r="S257" s="2">
        <v>42550</v>
      </c>
      <c r="T257" s="2">
        <v>42550</v>
      </c>
      <c r="U257" s="4">
        <v>42610</v>
      </c>
      <c r="V257" t="s">
        <v>71</v>
      </c>
      <c r="W257" t="str">
        <f>"            16092897"</f>
        <v xml:space="preserve">            16092897</v>
      </c>
      <c r="X257" s="1">
        <v>14932.8</v>
      </c>
      <c r="Y257">
        <v>0</v>
      </c>
      <c r="Z257" s="5">
        <v>12240</v>
      </c>
      <c r="AA257" s="3">
        <v>187</v>
      </c>
      <c r="AB257" s="5">
        <v>2288880</v>
      </c>
      <c r="AC257" s="1">
        <v>12240</v>
      </c>
      <c r="AD257">
        <v>187</v>
      </c>
      <c r="AE257" s="1">
        <v>2288880</v>
      </c>
      <c r="AF257" s="1">
        <v>2692.8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 s="2">
        <v>42831</v>
      </c>
      <c r="AQ257" t="s">
        <v>72</v>
      </c>
      <c r="AR257" t="s">
        <v>72</v>
      </c>
      <c r="AS257">
        <v>702</v>
      </c>
      <c r="AT257" s="4">
        <v>42797</v>
      </c>
      <c r="AU257" t="s">
        <v>73</v>
      </c>
      <c r="AV257">
        <v>702</v>
      </c>
      <c r="AW257" s="4">
        <v>42797</v>
      </c>
      <c r="BD257" s="1">
        <v>2692.8</v>
      </c>
      <c r="BN257" t="s">
        <v>74</v>
      </c>
    </row>
    <row r="258" spans="1:66">
      <c r="A258">
        <v>100210</v>
      </c>
      <c r="B258" t="s">
        <v>113</v>
      </c>
      <c r="C258" s="1">
        <v>43300101</v>
      </c>
      <c r="D258" t="s">
        <v>67</v>
      </c>
      <c r="H258" t="str">
        <f t="shared" ref="H258:I264" si="31">"08082461008"</f>
        <v>08082461008</v>
      </c>
      <c r="I258" t="str">
        <f t="shared" si="31"/>
        <v>08082461008</v>
      </c>
      <c r="K258" t="str">
        <f>""</f>
        <v/>
      </c>
      <c r="M258" t="s">
        <v>68</v>
      </c>
      <c r="N258" t="str">
        <f t="shared" si="29"/>
        <v>FOR</v>
      </c>
      <c r="O258" t="s">
        <v>69</v>
      </c>
      <c r="P258" t="s">
        <v>75</v>
      </c>
      <c r="Q258">
        <v>2016</v>
      </c>
      <c r="R258" s="4">
        <v>42549</v>
      </c>
      <c r="S258" s="2">
        <v>42550</v>
      </c>
      <c r="T258" s="2">
        <v>42549</v>
      </c>
      <c r="U258" s="4">
        <v>42609</v>
      </c>
      <c r="V258" t="s">
        <v>71</v>
      </c>
      <c r="W258" t="str">
        <f>"            16093064"</f>
        <v xml:space="preserve">            16093064</v>
      </c>
      <c r="X258" s="1">
        <v>4940</v>
      </c>
      <c r="Y258">
        <v>0</v>
      </c>
      <c r="Z258" s="5">
        <v>4750</v>
      </c>
      <c r="AA258" s="3">
        <v>188</v>
      </c>
      <c r="AB258" s="5">
        <v>893000</v>
      </c>
      <c r="AC258" s="1">
        <v>4750</v>
      </c>
      <c r="AD258">
        <v>188</v>
      </c>
      <c r="AE258" s="1">
        <v>893000</v>
      </c>
      <c r="AF258">
        <v>190</v>
      </c>
      <c r="AJ258">
        <v>0</v>
      </c>
      <c r="AK258">
        <v>0</v>
      </c>
      <c r="AL258">
        <v>0</v>
      </c>
      <c r="AM258">
        <v>0</v>
      </c>
      <c r="AN258">
        <v>0</v>
      </c>
      <c r="AO258">
        <v>0</v>
      </c>
      <c r="AP258" s="2">
        <v>42831</v>
      </c>
      <c r="AQ258" t="s">
        <v>72</v>
      </c>
      <c r="AR258" t="s">
        <v>72</v>
      </c>
      <c r="AS258">
        <v>702</v>
      </c>
      <c r="AT258" s="4">
        <v>42797</v>
      </c>
      <c r="AU258" t="s">
        <v>73</v>
      </c>
      <c r="AV258">
        <v>702</v>
      </c>
      <c r="AW258" s="4">
        <v>42797</v>
      </c>
      <c r="BD258">
        <v>190</v>
      </c>
      <c r="BN258" t="s">
        <v>74</v>
      </c>
    </row>
    <row r="259" spans="1:66">
      <c r="A259">
        <v>100210</v>
      </c>
      <c r="B259" t="s">
        <v>113</v>
      </c>
      <c r="C259" s="1">
        <v>43300101</v>
      </c>
      <c r="D259" t="s">
        <v>67</v>
      </c>
      <c r="H259" t="str">
        <f t="shared" si="31"/>
        <v>08082461008</v>
      </c>
      <c r="I259" t="str">
        <f t="shared" si="31"/>
        <v>08082461008</v>
      </c>
      <c r="K259" t="str">
        <f>""</f>
        <v/>
      </c>
      <c r="M259" t="s">
        <v>68</v>
      </c>
      <c r="N259" t="str">
        <f t="shared" si="29"/>
        <v>FOR</v>
      </c>
      <c r="O259" t="s">
        <v>69</v>
      </c>
      <c r="P259" t="s">
        <v>75</v>
      </c>
      <c r="Q259">
        <v>2016</v>
      </c>
      <c r="R259" s="4">
        <v>42550</v>
      </c>
      <c r="S259" s="2">
        <v>42551</v>
      </c>
      <c r="T259" s="2">
        <v>42551</v>
      </c>
      <c r="U259" s="4">
        <v>42611</v>
      </c>
      <c r="V259" t="s">
        <v>71</v>
      </c>
      <c r="W259" t="str">
        <f>"            16093771"</f>
        <v xml:space="preserve">            16093771</v>
      </c>
      <c r="X259">
        <v>337.31</v>
      </c>
      <c r="Y259">
        <v>0</v>
      </c>
      <c r="Z259" s="5">
        <v>276.48</v>
      </c>
      <c r="AA259" s="3">
        <v>186</v>
      </c>
      <c r="AB259" s="5">
        <v>51425.279999999999</v>
      </c>
      <c r="AC259">
        <v>276.48</v>
      </c>
      <c r="AD259">
        <v>186</v>
      </c>
      <c r="AE259" s="1">
        <v>51425.279999999999</v>
      </c>
      <c r="AF259">
        <v>60.83</v>
      </c>
      <c r="AJ259">
        <v>0</v>
      </c>
      <c r="AK259">
        <v>0</v>
      </c>
      <c r="AL259">
        <v>0</v>
      </c>
      <c r="AM259">
        <v>0</v>
      </c>
      <c r="AN259">
        <v>0</v>
      </c>
      <c r="AO259">
        <v>0</v>
      </c>
      <c r="AP259" s="2">
        <v>42831</v>
      </c>
      <c r="AQ259" t="s">
        <v>72</v>
      </c>
      <c r="AR259" t="s">
        <v>72</v>
      </c>
      <c r="AS259">
        <v>702</v>
      </c>
      <c r="AT259" s="4">
        <v>42797</v>
      </c>
      <c r="AU259" t="s">
        <v>73</v>
      </c>
      <c r="AV259">
        <v>702</v>
      </c>
      <c r="AW259" s="4">
        <v>42797</v>
      </c>
      <c r="BD259">
        <v>60.83</v>
      </c>
      <c r="BN259" t="s">
        <v>74</v>
      </c>
    </row>
    <row r="260" spans="1:66">
      <c r="A260">
        <v>100210</v>
      </c>
      <c r="B260" t="s">
        <v>113</v>
      </c>
      <c r="C260" s="1">
        <v>43300101</v>
      </c>
      <c r="D260" t="s">
        <v>67</v>
      </c>
      <c r="H260" t="str">
        <f t="shared" si="31"/>
        <v>08082461008</v>
      </c>
      <c r="I260" t="str">
        <f t="shared" si="31"/>
        <v>08082461008</v>
      </c>
      <c r="K260" t="str">
        <f>""</f>
        <v/>
      </c>
      <c r="M260" t="s">
        <v>68</v>
      </c>
      <c r="N260" t="str">
        <f t="shared" si="29"/>
        <v>FOR</v>
      </c>
      <c r="O260" t="s">
        <v>69</v>
      </c>
      <c r="P260" t="s">
        <v>75</v>
      </c>
      <c r="Q260">
        <v>2016</v>
      </c>
      <c r="R260" s="4">
        <v>42551</v>
      </c>
      <c r="S260" s="2">
        <v>42556</v>
      </c>
      <c r="T260" s="2">
        <v>42551</v>
      </c>
      <c r="U260" s="4">
        <v>42611</v>
      </c>
      <c r="V260" t="s">
        <v>71</v>
      </c>
      <c r="W260" t="str">
        <f>"            16094452"</f>
        <v xml:space="preserve">            16094452</v>
      </c>
      <c r="X260">
        <v>644.79999999999995</v>
      </c>
      <c r="Y260">
        <v>0</v>
      </c>
      <c r="Z260" s="5">
        <v>620</v>
      </c>
      <c r="AA260" s="3">
        <v>186</v>
      </c>
      <c r="AB260" s="5">
        <v>115320</v>
      </c>
      <c r="AC260">
        <v>620</v>
      </c>
      <c r="AD260">
        <v>186</v>
      </c>
      <c r="AE260" s="1">
        <v>115320</v>
      </c>
      <c r="AF260">
        <v>24.8</v>
      </c>
      <c r="AJ260">
        <v>0</v>
      </c>
      <c r="AK260">
        <v>0</v>
      </c>
      <c r="AL260">
        <v>0</v>
      </c>
      <c r="AM260">
        <v>0</v>
      </c>
      <c r="AN260">
        <v>0</v>
      </c>
      <c r="AO260">
        <v>0</v>
      </c>
      <c r="AP260" s="2">
        <v>42831</v>
      </c>
      <c r="AQ260" t="s">
        <v>72</v>
      </c>
      <c r="AR260" t="s">
        <v>72</v>
      </c>
      <c r="AS260">
        <v>702</v>
      </c>
      <c r="AT260" s="4">
        <v>42797</v>
      </c>
      <c r="AU260" t="s">
        <v>73</v>
      </c>
      <c r="AV260">
        <v>702</v>
      </c>
      <c r="AW260" s="4">
        <v>42797</v>
      </c>
      <c r="BD260">
        <v>24.8</v>
      </c>
      <c r="BN260" t="s">
        <v>74</v>
      </c>
    </row>
    <row r="261" spans="1:66">
      <c r="A261">
        <v>100210</v>
      </c>
      <c r="B261" t="s">
        <v>113</v>
      </c>
      <c r="C261" s="1">
        <v>43300101</v>
      </c>
      <c r="D261" t="s">
        <v>67</v>
      </c>
      <c r="H261" t="str">
        <f t="shared" si="31"/>
        <v>08082461008</v>
      </c>
      <c r="I261" t="str">
        <f t="shared" si="31"/>
        <v>08082461008</v>
      </c>
      <c r="K261" t="str">
        <f>""</f>
        <v/>
      </c>
      <c r="M261" t="s">
        <v>68</v>
      </c>
      <c r="N261" t="str">
        <f t="shared" si="29"/>
        <v>FOR</v>
      </c>
      <c r="O261" t="s">
        <v>69</v>
      </c>
      <c r="P261" t="s">
        <v>75</v>
      </c>
      <c r="Q261">
        <v>2016</v>
      </c>
      <c r="R261" s="4">
        <v>42465</v>
      </c>
      <c r="S261" s="2">
        <v>42472</v>
      </c>
      <c r="T261" s="2">
        <v>42465</v>
      </c>
      <c r="U261" s="4">
        <v>42525</v>
      </c>
      <c r="V261" t="s">
        <v>71</v>
      </c>
      <c r="W261" t="str">
        <f>"            98587371"</f>
        <v xml:space="preserve">            98587371</v>
      </c>
      <c r="X261">
        <v>920.44</v>
      </c>
      <c r="Y261">
        <v>0</v>
      </c>
      <c r="Z261" s="5">
        <v>885.04</v>
      </c>
      <c r="AA261" s="3">
        <v>249</v>
      </c>
      <c r="AB261" s="5">
        <v>220374.96</v>
      </c>
      <c r="AC261">
        <v>885.04</v>
      </c>
      <c r="AD261">
        <v>249</v>
      </c>
      <c r="AE261" s="1">
        <v>220374.96</v>
      </c>
      <c r="AF261">
        <v>0</v>
      </c>
      <c r="AJ261">
        <v>0</v>
      </c>
      <c r="AK261">
        <v>0</v>
      </c>
      <c r="AL261">
        <v>0</v>
      </c>
      <c r="AM261">
        <v>0</v>
      </c>
      <c r="AN261">
        <v>0</v>
      </c>
      <c r="AO261">
        <v>0</v>
      </c>
      <c r="AP261" s="2">
        <v>42831</v>
      </c>
      <c r="AQ261" t="s">
        <v>72</v>
      </c>
      <c r="AR261" t="s">
        <v>72</v>
      </c>
      <c r="AS261">
        <v>356</v>
      </c>
      <c r="AT261" s="4">
        <v>42774</v>
      </c>
      <c r="AU261" t="s">
        <v>73</v>
      </c>
      <c r="AV261">
        <v>356</v>
      </c>
      <c r="AW261" s="4">
        <v>42774</v>
      </c>
      <c r="BD261">
        <v>0</v>
      </c>
      <c r="BN261" t="s">
        <v>74</v>
      </c>
    </row>
    <row r="262" spans="1:66">
      <c r="A262">
        <v>100210</v>
      </c>
      <c r="B262" t="s">
        <v>113</v>
      </c>
      <c r="C262" s="1">
        <v>43300101</v>
      </c>
      <c r="D262" t="s">
        <v>67</v>
      </c>
      <c r="H262" t="str">
        <f t="shared" si="31"/>
        <v>08082461008</v>
      </c>
      <c r="I262" t="str">
        <f t="shared" si="31"/>
        <v>08082461008</v>
      </c>
      <c r="K262" t="str">
        <f>""</f>
        <v/>
      </c>
      <c r="M262" t="s">
        <v>68</v>
      </c>
      <c r="N262" t="str">
        <f t="shared" si="29"/>
        <v>FOR</v>
      </c>
      <c r="O262" t="s">
        <v>69</v>
      </c>
      <c r="P262" t="s">
        <v>75</v>
      </c>
      <c r="Q262">
        <v>2016</v>
      </c>
      <c r="R262" s="4">
        <v>42509</v>
      </c>
      <c r="S262" s="2">
        <v>42514</v>
      </c>
      <c r="T262" s="2">
        <v>42509</v>
      </c>
      <c r="U262" s="4">
        <v>42569</v>
      </c>
      <c r="V262" t="s">
        <v>71</v>
      </c>
      <c r="W262" t="str">
        <f>"            98595179"</f>
        <v xml:space="preserve">            98595179</v>
      </c>
      <c r="X262">
        <v>920.44</v>
      </c>
      <c r="Y262">
        <v>0</v>
      </c>
      <c r="Z262" s="5">
        <v>885.04</v>
      </c>
      <c r="AA262" s="3">
        <v>205</v>
      </c>
      <c r="AB262" s="5">
        <v>181433.2</v>
      </c>
      <c r="AC262">
        <v>885.04</v>
      </c>
      <c r="AD262">
        <v>205</v>
      </c>
      <c r="AE262" s="1">
        <v>181433.2</v>
      </c>
      <c r="AF262">
        <v>0</v>
      </c>
      <c r="AJ262">
        <v>0</v>
      </c>
      <c r="AK262">
        <v>0</v>
      </c>
      <c r="AL262">
        <v>0</v>
      </c>
      <c r="AM262">
        <v>0</v>
      </c>
      <c r="AN262">
        <v>0</v>
      </c>
      <c r="AO262">
        <v>0</v>
      </c>
      <c r="AP262" s="2">
        <v>42831</v>
      </c>
      <c r="AQ262" t="s">
        <v>72</v>
      </c>
      <c r="AR262" t="s">
        <v>72</v>
      </c>
      <c r="AS262">
        <v>357</v>
      </c>
      <c r="AT262" s="4">
        <v>42774</v>
      </c>
      <c r="AU262" t="s">
        <v>73</v>
      </c>
      <c r="AV262">
        <v>357</v>
      </c>
      <c r="AW262" s="4">
        <v>42774</v>
      </c>
      <c r="BD262">
        <v>0</v>
      </c>
      <c r="BN262" t="s">
        <v>74</v>
      </c>
    </row>
    <row r="263" spans="1:66">
      <c r="A263">
        <v>100210</v>
      </c>
      <c r="B263" t="s">
        <v>113</v>
      </c>
      <c r="C263" s="1">
        <v>43300101</v>
      </c>
      <c r="D263" t="s">
        <v>67</v>
      </c>
      <c r="H263" t="str">
        <f t="shared" si="31"/>
        <v>08082461008</v>
      </c>
      <c r="I263" t="str">
        <f t="shared" si="31"/>
        <v>08082461008</v>
      </c>
      <c r="K263" t="str">
        <f>""</f>
        <v/>
      </c>
      <c r="M263" t="s">
        <v>68</v>
      </c>
      <c r="N263" t="str">
        <f t="shared" si="29"/>
        <v>FOR</v>
      </c>
      <c r="O263" t="s">
        <v>69</v>
      </c>
      <c r="P263" t="s">
        <v>75</v>
      </c>
      <c r="Q263">
        <v>2016</v>
      </c>
      <c r="R263" s="4">
        <v>42549</v>
      </c>
      <c r="S263" s="2">
        <v>42549</v>
      </c>
      <c r="T263" s="2">
        <v>42549</v>
      </c>
      <c r="U263" s="4">
        <v>42609</v>
      </c>
      <c r="V263" t="s">
        <v>71</v>
      </c>
      <c r="W263" t="str">
        <f>"            98602052"</f>
        <v xml:space="preserve">            98602052</v>
      </c>
      <c r="X263" s="1">
        <v>16781.38</v>
      </c>
      <c r="Y263">
        <v>0</v>
      </c>
      <c r="Z263" s="5">
        <v>16135.94</v>
      </c>
      <c r="AA263" s="3">
        <v>188</v>
      </c>
      <c r="AB263" s="5">
        <v>3033556.72</v>
      </c>
      <c r="AC263" s="1">
        <v>16135.94</v>
      </c>
      <c r="AD263">
        <v>188</v>
      </c>
      <c r="AE263" s="1">
        <v>3033556.72</v>
      </c>
      <c r="AF263">
        <v>645.44000000000005</v>
      </c>
      <c r="AJ263">
        <v>0</v>
      </c>
      <c r="AK263">
        <v>0</v>
      </c>
      <c r="AL263">
        <v>0</v>
      </c>
      <c r="AM263">
        <v>0</v>
      </c>
      <c r="AN263">
        <v>0</v>
      </c>
      <c r="AO263">
        <v>0</v>
      </c>
      <c r="AP263" s="2">
        <v>42831</v>
      </c>
      <c r="AQ263" t="s">
        <v>72</v>
      </c>
      <c r="AR263" t="s">
        <v>72</v>
      </c>
      <c r="AS263">
        <v>702</v>
      </c>
      <c r="AT263" s="4">
        <v>42797</v>
      </c>
      <c r="AU263" t="s">
        <v>73</v>
      </c>
      <c r="AV263">
        <v>702</v>
      </c>
      <c r="AW263" s="4">
        <v>42797</v>
      </c>
      <c r="BD263">
        <v>645.44000000000005</v>
      </c>
      <c r="BN263" t="s">
        <v>74</v>
      </c>
    </row>
    <row r="264" spans="1:66">
      <c r="A264">
        <v>100210</v>
      </c>
      <c r="B264" t="s">
        <v>113</v>
      </c>
      <c r="C264" s="1">
        <v>43300101</v>
      </c>
      <c r="D264" t="s">
        <v>67</v>
      </c>
      <c r="H264" t="str">
        <f t="shared" si="31"/>
        <v>08082461008</v>
      </c>
      <c r="I264" t="str">
        <f t="shared" si="31"/>
        <v>08082461008</v>
      </c>
      <c r="K264" t="str">
        <f>""</f>
        <v/>
      </c>
      <c r="M264" t="s">
        <v>68</v>
      </c>
      <c r="N264" t="str">
        <f t="shared" si="29"/>
        <v>FOR</v>
      </c>
      <c r="O264" t="s">
        <v>69</v>
      </c>
      <c r="P264" t="s">
        <v>75</v>
      </c>
      <c r="Q264">
        <v>2016</v>
      </c>
      <c r="R264" s="4">
        <v>42551</v>
      </c>
      <c r="S264" s="2">
        <v>42556</v>
      </c>
      <c r="T264" s="2">
        <v>42551</v>
      </c>
      <c r="U264" s="4">
        <v>42611</v>
      </c>
      <c r="V264" t="s">
        <v>71</v>
      </c>
      <c r="W264" t="str">
        <f>"            98602616"</f>
        <v xml:space="preserve">            98602616</v>
      </c>
      <c r="X264" s="1">
        <v>1345.82</v>
      </c>
      <c r="Y264">
        <v>0</v>
      </c>
      <c r="Z264" s="5">
        <v>1294.06</v>
      </c>
      <c r="AA264" s="3">
        <v>186</v>
      </c>
      <c r="AB264" s="5">
        <v>240695.16</v>
      </c>
      <c r="AC264" s="1">
        <v>1294.06</v>
      </c>
      <c r="AD264">
        <v>186</v>
      </c>
      <c r="AE264" s="1">
        <v>240695.16</v>
      </c>
      <c r="AF264">
        <v>51.76</v>
      </c>
      <c r="AJ264">
        <v>0</v>
      </c>
      <c r="AK264">
        <v>0</v>
      </c>
      <c r="AL264">
        <v>0</v>
      </c>
      <c r="AM264">
        <v>0</v>
      </c>
      <c r="AN264">
        <v>0</v>
      </c>
      <c r="AO264">
        <v>0</v>
      </c>
      <c r="AP264" s="2">
        <v>42831</v>
      </c>
      <c r="AQ264" t="s">
        <v>72</v>
      </c>
      <c r="AR264" t="s">
        <v>72</v>
      </c>
      <c r="AS264">
        <v>702</v>
      </c>
      <c r="AT264" s="4">
        <v>42797</v>
      </c>
      <c r="AU264" t="s">
        <v>73</v>
      </c>
      <c r="AV264">
        <v>702</v>
      </c>
      <c r="AW264" s="4">
        <v>42797</v>
      </c>
      <c r="BD264">
        <v>51.76</v>
      </c>
      <c r="BN264" t="s">
        <v>74</v>
      </c>
    </row>
    <row r="265" spans="1:66">
      <c r="A265">
        <v>100212</v>
      </c>
      <c r="B265" t="s">
        <v>114</v>
      </c>
      <c r="C265" s="1">
        <v>43300101</v>
      </c>
      <c r="D265" t="s">
        <v>67</v>
      </c>
      <c r="H265" t="str">
        <f>"07054190637"</f>
        <v>07054190637</v>
      </c>
      <c r="I265" t="str">
        <f>"07054190637"</f>
        <v>07054190637</v>
      </c>
      <c r="K265" t="str">
        <f>""</f>
        <v/>
      </c>
      <c r="M265" t="s">
        <v>68</v>
      </c>
      <c r="N265" t="str">
        <f t="shared" si="29"/>
        <v>FOR</v>
      </c>
      <c r="O265" t="s">
        <v>69</v>
      </c>
      <c r="P265" t="s">
        <v>75</v>
      </c>
      <c r="Q265">
        <v>2016</v>
      </c>
      <c r="R265" s="4">
        <v>42704</v>
      </c>
      <c r="S265" s="2">
        <v>42711</v>
      </c>
      <c r="T265" s="2">
        <v>42705</v>
      </c>
      <c r="U265" s="4">
        <v>42765</v>
      </c>
      <c r="V265" t="s">
        <v>71</v>
      </c>
      <c r="W265" t="str">
        <f>"                 197"</f>
        <v xml:space="preserve">                 197</v>
      </c>
      <c r="X265">
        <v>241.32</v>
      </c>
      <c r="Y265">
        <v>0</v>
      </c>
      <c r="Z265" s="5">
        <v>197.8</v>
      </c>
      <c r="AA265" s="3">
        <v>3</v>
      </c>
      <c r="AB265" s="3">
        <v>593.4</v>
      </c>
      <c r="AC265">
        <v>197.8</v>
      </c>
      <c r="AD265">
        <v>3</v>
      </c>
      <c r="AE265">
        <v>593.4</v>
      </c>
      <c r="AF265">
        <v>0</v>
      </c>
      <c r="AJ265">
        <v>0</v>
      </c>
      <c r="AK265">
        <v>0</v>
      </c>
      <c r="AL265">
        <v>0</v>
      </c>
      <c r="AM265">
        <v>0</v>
      </c>
      <c r="AN265">
        <v>0</v>
      </c>
      <c r="AO265">
        <v>0</v>
      </c>
      <c r="AP265" s="2">
        <v>42831</v>
      </c>
      <c r="AQ265" t="s">
        <v>72</v>
      </c>
      <c r="AR265" t="s">
        <v>72</v>
      </c>
      <c r="AS265">
        <v>244</v>
      </c>
      <c r="AT265" s="4">
        <v>42768</v>
      </c>
      <c r="AU265" t="s">
        <v>73</v>
      </c>
      <c r="AV265">
        <v>244</v>
      </c>
      <c r="AW265" s="4">
        <v>42768</v>
      </c>
      <c r="BD265">
        <v>0</v>
      </c>
      <c r="BN265" t="s">
        <v>74</v>
      </c>
    </row>
    <row r="266" spans="1:66">
      <c r="A266">
        <v>100228</v>
      </c>
      <c r="B266" t="s">
        <v>115</v>
      </c>
      <c r="C266" s="1">
        <v>43500101</v>
      </c>
      <c r="D266" t="s">
        <v>98</v>
      </c>
      <c r="H266" t="str">
        <f>"DLVBDT56R11A783L"</f>
        <v>DLVBDT56R11A783L</v>
      </c>
      <c r="I266" t="str">
        <f>"00670790625"</f>
        <v>00670790625</v>
      </c>
      <c r="K266" t="str">
        <f>""</f>
        <v/>
      </c>
      <c r="M266" t="s">
        <v>68</v>
      </c>
      <c r="N266" t="str">
        <f>"ALTPRO"</f>
        <v>ALTPRO</v>
      </c>
      <c r="O266" t="s">
        <v>116</v>
      </c>
      <c r="P266" t="s">
        <v>75</v>
      </c>
      <c r="Q266">
        <v>2016</v>
      </c>
      <c r="R266" s="4">
        <v>42570</v>
      </c>
      <c r="S266" s="2">
        <v>42577</v>
      </c>
      <c r="T266" s="2">
        <v>42570</v>
      </c>
      <c r="U266" s="4">
        <v>42630</v>
      </c>
      <c r="V266" t="s">
        <v>71</v>
      </c>
      <c r="W266" t="str">
        <f>"         FATTPA 5_16"</f>
        <v xml:space="preserve">         FATTPA 5_16</v>
      </c>
      <c r="X266" s="1">
        <v>1750.94</v>
      </c>
      <c r="Y266">
        <v>-276</v>
      </c>
      <c r="Z266" s="5">
        <v>1474.94</v>
      </c>
      <c r="AA266" s="3">
        <v>165</v>
      </c>
      <c r="AB266" s="5">
        <v>243365.1</v>
      </c>
      <c r="AC266" s="1">
        <v>1474.94</v>
      </c>
      <c r="AD266">
        <v>165</v>
      </c>
      <c r="AE266" s="1">
        <v>243365.1</v>
      </c>
      <c r="AF266">
        <v>0</v>
      </c>
      <c r="AJ266">
        <v>0</v>
      </c>
      <c r="AK266">
        <v>0</v>
      </c>
      <c r="AL266">
        <v>0</v>
      </c>
      <c r="AM266">
        <v>0</v>
      </c>
      <c r="AN266">
        <v>0</v>
      </c>
      <c r="AO266">
        <v>0</v>
      </c>
      <c r="AP266" s="2">
        <v>42831</v>
      </c>
      <c r="AQ266" t="s">
        <v>72</v>
      </c>
      <c r="AR266" t="s">
        <v>72</v>
      </c>
      <c r="AS266">
        <v>654</v>
      </c>
      <c r="AT266" s="4">
        <v>42795</v>
      </c>
      <c r="AU266" t="s">
        <v>73</v>
      </c>
      <c r="AV266">
        <v>654</v>
      </c>
      <c r="AW266" s="4">
        <v>42795</v>
      </c>
      <c r="BD266">
        <v>0</v>
      </c>
      <c r="BN266" t="s">
        <v>74</v>
      </c>
    </row>
    <row r="267" spans="1:66">
      <c r="A267">
        <v>100240</v>
      </c>
      <c r="B267" t="s">
        <v>117</v>
      </c>
      <c r="C267" s="1">
        <v>43300101</v>
      </c>
      <c r="D267" t="s">
        <v>67</v>
      </c>
      <c r="H267" t="str">
        <f>"00283310639"</f>
        <v>00283310639</v>
      </c>
      <c r="I267" t="str">
        <f>"00283310639"</f>
        <v>00283310639</v>
      </c>
      <c r="K267" t="str">
        <f>""</f>
        <v/>
      </c>
      <c r="M267" t="s">
        <v>68</v>
      </c>
      <c r="N267" t="str">
        <f t="shared" ref="N267:N279" si="32">"FOR"</f>
        <v>FOR</v>
      </c>
      <c r="O267" t="s">
        <v>69</v>
      </c>
      <c r="P267" t="s">
        <v>75</v>
      </c>
      <c r="Q267">
        <v>2016</v>
      </c>
      <c r="R267" s="4">
        <v>42475</v>
      </c>
      <c r="S267" s="2">
        <v>42814</v>
      </c>
      <c r="T267" s="2">
        <v>42475</v>
      </c>
      <c r="U267" s="4">
        <v>42535</v>
      </c>
      <c r="V267" t="s">
        <v>71</v>
      </c>
      <c r="W267" t="str">
        <f>"              11/FEP"</f>
        <v xml:space="preserve">              11/FEP</v>
      </c>
      <c r="X267" s="1">
        <v>1267.3800000000001</v>
      </c>
      <c r="Y267">
        <v>0</v>
      </c>
      <c r="Z267" s="5">
        <v>1112.8</v>
      </c>
      <c r="AA267" s="3">
        <v>281</v>
      </c>
      <c r="AB267" s="5">
        <v>312696.8</v>
      </c>
      <c r="AC267" s="1">
        <v>1112.8</v>
      </c>
      <c r="AD267">
        <v>281</v>
      </c>
      <c r="AE267" s="1">
        <v>312696.8</v>
      </c>
      <c r="AF267">
        <v>154.58000000000001</v>
      </c>
      <c r="AJ267">
        <v>0</v>
      </c>
      <c r="AK267" s="1">
        <v>1267.3800000000001</v>
      </c>
      <c r="AL267">
        <v>0</v>
      </c>
      <c r="AM267">
        <v>0</v>
      </c>
      <c r="AN267" s="1">
        <v>1267.3800000000001</v>
      </c>
      <c r="AO267">
        <v>0</v>
      </c>
      <c r="AP267" s="2">
        <v>42831</v>
      </c>
      <c r="AQ267" t="s">
        <v>72</v>
      </c>
      <c r="AR267" t="s">
        <v>72</v>
      </c>
      <c r="AS267">
        <v>881</v>
      </c>
      <c r="AT267" s="4">
        <v>42816</v>
      </c>
      <c r="AU267" t="s">
        <v>73</v>
      </c>
      <c r="AV267">
        <v>881</v>
      </c>
      <c r="AW267" s="4">
        <v>42816</v>
      </c>
      <c r="BD267">
        <v>154.58000000000001</v>
      </c>
      <c r="BN267" t="s">
        <v>74</v>
      </c>
    </row>
    <row r="268" spans="1:66">
      <c r="A268">
        <v>100241</v>
      </c>
      <c r="B268" t="s">
        <v>118</v>
      </c>
      <c r="C268" s="1">
        <v>43300101</v>
      </c>
      <c r="D268" t="s">
        <v>67</v>
      </c>
      <c r="H268" t="str">
        <f t="shared" ref="H268:I279" si="33">"06716210635"</f>
        <v>06716210635</v>
      </c>
      <c r="I268" t="str">
        <f t="shared" si="33"/>
        <v>06716210635</v>
      </c>
      <c r="K268" t="str">
        <f>""</f>
        <v/>
      </c>
      <c r="M268" t="s">
        <v>68</v>
      </c>
      <c r="N268" t="str">
        <f t="shared" si="32"/>
        <v>FOR</v>
      </c>
      <c r="O268" t="s">
        <v>69</v>
      </c>
      <c r="P268" t="s">
        <v>75</v>
      </c>
      <c r="Q268">
        <v>2016</v>
      </c>
      <c r="R268" s="4">
        <v>42468</v>
      </c>
      <c r="S268" s="2">
        <v>42481</v>
      </c>
      <c r="T268" s="2">
        <v>42479</v>
      </c>
      <c r="U268" s="4">
        <v>42539</v>
      </c>
      <c r="V268" t="s">
        <v>71</v>
      </c>
      <c r="W268" t="str">
        <f>"         000426-0CPA"</f>
        <v xml:space="preserve">         000426-0CPA</v>
      </c>
      <c r="X268">
        <v>200.45</v>
      </c>
      <c r="Y268">
        <v>0</v>
      </c>
      <c r="Z268" s="5">
        <v>164.3</v>
      </c>
      <c r="AA268" s="3">
        <v>241</v>
      </c>
      <c r="AB268" s="5">
        <v>39596.300000000003</v>
      </c>
      <c r="AC268">
        <v>164.3</v>
      </c>
      <c r="AD268">
        <v>241</v>
      </c>
      <c r="AE268" s="1">
        <v>39596.300000000003</v>
      </c>
      <c r="AF268">
        <v>0</v>
      </c>
      <c r="AJ268">
        <v>0</v>
      </c>
      <c r="AK268">
        <v>0</v>
      </c>
      <c r="AL268">
        <v>0</v>
      </c>
      <c r="AM268">
        <v>0</v>
      </c>
      <c r="AN268">
        <v>0</v>
      </c>
      <c r="AO268">
        <v>0</v>
      </c>
      <c r="AP268" s="2">
        <v>42831</v>
      </c>
      <c r="AQ268" t="s">
        <v>72</v>
      </c>
      <c r="AR268" t="s">
        <v>72</v>
      </c>
      <c r="AS268">
        <v>434</v>
      </c>
      <c r="AT268" s="4">
        <v>42780</v>
      </c>
      <c r="AU268" t="s">
        <v>73</v>
      </c>
      <c r="AV268">
        <v>434</v>
      </c>
      <c r="AW268" s="4">
        <v>42780</v>
      </c>
      <c r="BD268">
        <v>0</v>
      </c>
      <c r="BN268" t="s">
        <v>74</v>
      </c>
    </row>
    <row r="269" spans="1:66">
      <c r="A269">
        <v>100241</v>
      </c>
      <c r="B269" t="s">
        <v>118</v>
      </c>
      <c r="C269" s="1">
        <v>43300101</v>
      </c>
      <c r="D269" t="s">
        <v>67</v>
      </c>
      <c r="H269" t="str">
        <f t="shared" si="33"/>
        <v>06716210635</v>
      </c>
      <c r="I269" t="str">
        <f t="shared" si="33"/>
        <v>06716210635</v>
      </c>
      <c r="K269" t="str">
        <f>""</f>
        <v/>
      </c>
      <c r="M269" t="s">
        <v>68</v>
      </c>
      <c r="N269" t="str">
        <f t="shared" si="32"/>
        <v>FOR</v>
      </c>
      <c r="O269" t="s">
        <v>69</v>
      </c>
      <c r="P269" t="s">
        <v>75</v>
      </c>
      <c r="Q269">
        <v>2016</v>
      </c>
      <c r="R269" s="4">
        <v>42475</v>
      </c>
      <c r="S269" s="2">
        <v>42481</v>
      </c>
      <c r="T269" s="2">
        <v>42480</v>
      </c>
      <c r="U269" s="4">
        <v>42540</v>
      </c>
      <c r="V269" t="s">
        <v>71</v>
      </c>
      <c r="W269" t="str">
        <f>"         000462-0CPA"</f>
        <v xml:space="preserve">         000462-0CPA</v>
      </c>
      <c r="X269">
        <v>446.15</v>
      </c>
      <c r="Y269">
        <v>0</v>
      </c>
      <c r="Z269" s="5">
        <v>365.7</v>
      </c>
      <c r="AA269" s="3">
        <v>240</v>
      </c>
      <c r="AB269" s="5">
        <v>87768</v>
      </c>
      <c r="AC269">
        <v>365.7</v>
      </c>
      <c r="AD269">
        <v>240</v>
      </c>
      <c r="AE269" s="1">
        <v>87768</v>
      </c>
      <c r="AF269">
        <v>0</v>
      </c>
      <c r="AJ269">
        <v>0</v>
      </c>
      <c r="AK269">
        <v>0</v>
      </c>
      <c r="AL269">
        <v>0</v>
      </c>
      <c r="AM269">
        <v>0</v>
      </c>
      <c r="AN269">
        <v>0</v>
      </c>
      <c r="AO269">
        <v>0</v>
      </c>
      <c r="AP269" s="2">
        <v>42831</v>
      </c>
      <c r="AQ269" t="s">
        <v>72</v>
      </c>
      <c r="AR269" t="s">
        <v>72</v>
      </c>
      <c r="AS269">
        <v>434</v>
      </c>
      <c r="AT269" s="4">
        <v>42780</v>
      </c>
      <c r="AU269" t="s">
        <v>73</v>
      </c>
      <c r="AV269">
        <v>434</v>
      </c>
      <c r="AW269" s="4">
        <v>42780</v>
      </c>
      <c r="BD269">
        <v>0</v>
      </c>
      <c r="BN269" t="s">
        <v>74</v>
      </c>
    </row>
    <row r="270" spans="1:66">
      <c r="A270">
        <v>100241</v>
      </c>
      <c r="B270" t="s">
        <v>118</v>
      </c>
      <c r="C270" s="1">
        <v>43300101</v>
      </c>
      <c r="D270" t="s">
        <v>67</v>
      </c>
      <c r="H270" t="str">
        <f t="shared" si="33"/>
        <v>06716210635</v>
      </c>
      <c r="I270" t="str">
        <f t="shared" si="33"/>
        <v>06716210635</v>
      </c>
      <c r="K270" t="str">
        <f>""</f>
        <v/>
      </c>
      <c r="M270" t="s">
        <v>68</v>
      </c>
      <c r="N270" t="str">
        <f t="shared" si="32"/>
        <v>FOR</v>
      </c>
      <c r="O270" t="s">
        <v>69</v>
      </c>
      <c r="P270" t="s">
        <v>75</v>
      </c>
      <c r="Q270">
        <v>2016</v>
      </c>
      <c r="R270" s="4">
        <v>42503</v>
      </c>
      <c r="S270" s="2">
        <v>42534</v>
      </c>
      <c r="T270" s="2">
        <v>42530</v>
      </c>
      <c r="U270" s="4">
        <v>42590</v>
      </c>
      <c r="V270" t="s">
        <v>71</v>
      </c>
      <c r="W270" t="str">
        <f>"         000544-0CPA"</f>
        <v xml:space="preserve">         000544-0CPA</v>
      </c>
      <c r="X270">
        <v>146.4</v>
      </c>
      <c r="Y270">
        <v>0</v>
      </c>
      <c r="Z270" s="5">
        <v>120</v>
      </c>
      <c r="AA270" s="3">
        <v>190</v>
      </c>
      <c r="AB270" s="5">
        <v>22800</v>
      </c>
      <c r="AC270">
        <v>120</v>
      </c>
      <c r="AD270">
        <v>190</v>
      </c>
      <c r="AE270" s="1">
        <v>22800</v>
      </c>
      <c r="AF270">
        <v>0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 s="2">
        <v>42831</v>
      </c>
      <c r="AQ270" t="s">
        <v>72</v>
      </c>
      <c r="AR270" t="s">
        <v>72</v>
      </c>
      <c r="AS270">
        <v>434</v>
      </c>
      <c r="AT270" s="4">
        <v>42780</v>
      </c>
      <c r="AU270" t="s">
        <v>73</v>
      </c>
      <c r="AV270">
        <v>434</v>
      </c>
      <c r="AW270" s="4">
        <v>42780</v>
      </c>
      <c r="BD270">
        <v>0</v>
      </c>
      <c r="BN270" t="s">
        <v>74</v>
      </c>
    </row>
    <row r="271" spans="1:66">
      <c r="A271">
        <v>100241</v>
      </c>
      <c r="B271" t="s">
        <v>118</v>
      </c>
      <c r="C271" s="1">
        <v>43300101</v>
      </c>
      <c r="D271" t="s">
        <v>67</v>
      </c>
      <c r="H271" t="str">
        <f t="shared" si="33"/>
        <v>06716210635</v>
      </c>
      <c r="I271" t="str">
        <f t="shared" si="33"/>
        <v>06716210635</v>
      </c>
      <c r="K271" t="str">
        <f>""</f>
        <v/>
      </c>
      <c r="M271" t="s">
        <v>68</v>
      </c>
      <c r="N271" t="str">
        <f t="shared" si="32"/>
        <v>FOR</v>
      </c>
      <c r="O271" t="s">
        <v>69</v>
      </c>
      <c r="P271" t="s">
        <v>75</v>
      </c>
      <c r="Q271">
        <v>2016</v>
      </c>
      <c r="R271" s="4">
        <v>42517</v>
      </c>
      <c r="S271" s="2">
        <v>42542</v>
      </c>
      <c r="T271" s="2">
        <v>42537</v>
      </c>
      <c r="U271" s="4">
        <v>42597</v>
      </c>
      <c r="V271" t="s">
        <v>71</v>
      </c>
      <c r="W271" t="str">
        <f>"         000630-0CPA"</f>
        <v xml:space="preserve">         000630-0CPA</v>
      </c>
      <c r="X271" s="1">
        <v>2902.38</v>
      </c>
      <c r="Y271">
        <v>0</v>
      </c>
      <c r="Z271" s="5">
        <v>2379</v>
      </c>
      <c r="AA271" s="3">
        <v>183</v>
      </c>
      <c r="AB271" s="5">
        <v>435357</v>
      </c>
      <c r="AC271" s="1">
        <v>2379</v>
      </c>
      <c r="AD271">
        <v>183</v>
      </c>
      <c r="AE271" s="1">
        <v>435357</v>
      </c>
      <c r="AF271">
        <v>0</v>
      </c>
      <c r="AJ271">
        <v>0</v>
      </c>
      <c r="AK271">
        <v>0</v>
      </c>
      <c r="AL271">
        <v>0</v>
      </c>
      <c r="AM271">
        <v>0</v>
      </c>
      <c r="AN271">
        <v>0</v>
      </c>
      <c r="AO271">
        <v>0</v>
      </c>
      <c r="AP271" s="2">
        <v>42831</v>
      </c>
      <c r="AQ271" t="s">
        <v>72</v>
      </c>
      <c r="AR271" t="s">
        <v>72</v>
      </c>
      <c r="AS271">
        <v>434</v>
      </c>
      <c r="AT271" s="4">
        <v>42780</v>
      </c>
      <c r="AU271" t="s">
        <v>73</v>
      </c>
      <c r="AV271">
        <v>434</v>
      </c>
      <c r="AW271" s="4">
        <v>42780</v>
      </c>
      <c r="BD271">
        <v>0</v>
      </c>
      <c r="BN271" t="s">
        <v>74</v>
      </c>
    </row>
    <row r="272" spans="1:66">
      <c r="A272">
        <v>100241</v>
      </c>
      <c r="B272" t="s">
        <v>118</v>
      </c>
      <c r="C272" s="1">
        <v>43300101</v>
      </c>
      <c r="D272" t="s">
        <v>67</v>
      </c>
      <c r="H272" t="str">
        <f t="shared" si="33"/>
        <v>06716210635</v>
      </c>
      <c r="I272" t="str">
        <f t="shared" si="33"/>
        <v>06716210635</v>
      </c>
      <c r="K272" t="str">
        <f>""</f>
        <v/>
      </c>
      <c r="M272" t="s">
        <v>68</v>
      </c>
      <c r="N272" t="str">
        <f t="shared" si="32"/>
        <v>FOR</v>
      </c>
      <c r="O272" t="s">
        <v>69</v>
      </c>
      <c r="P272" t="s">
        <v>75</v>
      </c>
      <c r="Q272">
        <v>2016</v>
      </c>
      <c r="R272" s="4">
        <v>42573</v>
      </c>
      <c r="S272" s="2">
        <v>42620</v>
      </c>
      <c r="T272" s="2">
        <v>42618</v>
      </c>
      <c r="U272" s="4">
        <v>42678</v>
      </c>
      <c r="V272" t="s">
        <v>71</v>
      </c>
      <c r="W272" t="str">
        <f>"         000944-0CPA"</f>
        <v xml:space="preserve">         000944-0CPA</v>
      </c>
      <c r="X272" s="1">
        <v>1772.05</v>
      </c>
      <c r="Y272">
        <v>0</v>
      </c>
      <c r="Z272" s="5">
        <v>1452.5</v>
      </c>
      <c r="AA272" s="3">
        <v>117</v>
      </c>
      <c r="AB272" s="5">
        <v>169942.5</v>
      </c>
      <c r="AC272" s="1">
        <v>1452.5</v>
      </c>
      <c r="AD272">
        <v>117</v>
      </c>
      <c r="AE272" s="1">
        <v>169942.5</v>
      </c>
      <c r="AF272">
        <v>319.55</v>
      </c>
      <c r="AJ272">
        <v>0</v>
      </c>
      <c r="AK272">
        <v>0</v>
      </c>
      <c r="AL272">
        <v>0</v>
      </c>
      <c r="AM272">
        <v>0</v>
      </c>
      <c r="AN272">
        <v>0</v>
      </c>
      <c r="AO272">
        <v>0</v>
      </c>
      <c r="AP272" s="2">
        <v>42831</v>
      </c>
      <c r="AQ272" t="s">
        <v>72</v>
      </c>
      <c r="AR272" t="s">
        <v>72</v>
      </c>
      <c r="AS272">
        <v>657</v>
      </c>
      <c r="AT272" s="4">
        <v>42795</v>
      </c>
      <c r="AU272" t="s">
        <v>73</v>
      </c>
      <c r="AV272">
        <v>657</v>
      </c>
      <c r="AW272" s="4">
        <v>42795</v>
      </c>
      <c r="BB272">
        <v>319.55</v>
      </c>
      <c r="BD272">
        <v>0</v>
      </c>
      <c r="BN272" t="s">
        <v>74</v>
      </c>
    </row>
    <row r="273" spans="1:66">
      <c r="A273">
        <v>100241</v>
      </c>
      <c r="B273" t="s">
        <v>118</v>
      </c>
      <c r="C273" s="1">
        <v>43300101</v>
      </c>
      <c r="D273" t="s">
        <v>67</v>
      </c>
      <c r="H273" t="str">
        <f t="shared" si="33"/>
        <v>06716210635</v>
      </c>
      <c r="I273" t="str">
        <f t="shared" si="33"/>
        <v>06716210635</v>
      </c>
      <c r="K273" t="str">
        <f>""</f>
        <v/>
      </c>
      <c r="M273" t="s">
        <v>68</v>
      </c>
      <c r="N273" t="str">
        <f t="shared" si="32"/>
        <v>FOR</v>
      </c>
      <c r="O273" t="s">
        <v>69</v>
      </c>
      <c r="P273" t="s">
        <v>75</v>
      </c>
      <c r="Q273">
        <v>2016</v>
      </c>
      <c r="R273" s="4">
        <v>42580</v>
      </c>
      <c r="S273" s="2">
        <v>42620</v>
      </c>
      <c r="T273" s="2">
        <v>42619</v>
      </c>
      <c r="U273" s="4">
        <v>42679</v>
      </c>
      <c r="V273" t="s">
        <v>71</v>
      </c>
      <c r="W273" t="str">
        <f>"         000976-0CPA"</f>
        <v xml:space="preserve">         000976-0CPA</v>
      </c>
      <c r="X273">
        <v>484.95</v>
      </c>
      <c r="Y273">
        <v>0</v>
      </c>
      <c r="Z273" s="5">
        <v>397.5</v>
      </c>
      <c r="AA273" s="3">
        <v>116</v>
      </c>
      <c r="AB273" s="5">
        <v>46110</v>
      </c>
      <c r="AC273">
        <v>397.5</v>
      </c>
      <c r="AD273">
        <v>116</v>
      </c>
      <c r="AE273" s="1">
        <v>46110</v>
      </c>
      <c r="AF273">
        <v>87.45</v>
      </c>
      <c r="AJ273">
        <v>0</v>
      </c>
      <c r="AK273">
        <v>0</v>
      </c>
      <c r="AL273">
        <v>0</v>
      </c>
      <c r="AM273">
        <v>0</v>
      </c>
      <c r="AN273">
        <v>0</v>
      </c>
      <c r="AO273">
        <v>0</v>
      </c>
      <c r="AP273" s="2">
        <v>42831</v>
      </c>
      <c r="AQ273" t="s">
        <v>72</v>
      </c>
      <c r="AR273" t="s">
        <v>72</v>
      </c>
      <c r="AS273">
        <v>657</v>
      </c>
      <c r="AT273" s="4">
        <v>42795</v>
      </c>
      <c r="AU273" t="s">
        <v>73</v>
      </c>
      <c r="AV273">
        <v>657</v>
      </c>
      <c r="AW273" s="4">
        <v>42795</v>
      </c>
      <c r="BB273">
        <v>87.45</v>
      </c>
      <c r="BD273">
        <v>0</v>
      </c>
      <c r="BN273" t="s">
        <v>74</v>
      </c>
    </row>
    <row r="274" spans="1:66">
      <c r="A274">
        <v>100241</v>
      </c>
      <c r="B274" t="s">
        <v>118</v>
      </c>
      <c r="C274" s="1">
        <v>43300101</v>
      </c>
      <c r="D274" t="s">
        <v>67</v>
      </c>
      <c r="H274" t="str">
        <f t="shared" si="33"/>
        <v>06716210635</v>
      </c>
      <c r="I274" t="str">
        <f t="shared" si="33"/>
        <v>06716210635</v>
      </c>
      <c r="K274" t="str">
        <f>""</f>
        <v/>
      </c>
      <c r="M274" t="s">
        <v>68</v>
      </c>
      <c r="N274" t="str">
        <f t="shared" si="32"/>
        <v>FOR</v>
      </c>
      <c r="O274" t="s">
        <v>69</v>
      </c>
      <c r="P274" t="s">
        <v>75</v>
      </c>
      <c r="Q274">
        <v>2016</v>
      </c>
      <c r="R274" s="4">
        <v>42622</v>
      </c>
      <c r="S274" s="2">
        <v>42682</v>
      </c>
      <c r="T274" s="2">
        <v>42653</v>
      </c>
      <c r="U274" s="4">
        <v>42713</v>
      </c>
      <c r="V274" t="s">
        <v>71</v>
      </c>
      <c r="W274" t="str">
        <f>"         001053-0CPA"</f>
        <v xml:space="preserve">         001053-0CPA</v>
      </c>
      <c r="X274">
        <v>161.65</v>
      </c>
      <c r="Y274">
        <v>0</v>
      </c>
      <c r="Z274" s="5">
        <v>132.5</v>
      </c>
      <c r="AA274" s="3">
        <v>82</v>
      </c>
      <c r="AB274" s="5">
        <v>10865</v>
      </c>
      <c r="AC274">
        <v>132.5</v>
      </c>
      <c r="AD274">
        <v>82</v>
      </c>
      <c r="AE274" s="1">
        <v>10865</v>
      </c>
      <c r="AF274">
        <v>29.15</v>
      </c>
      <c r="AJ274">
        <v>0</v>
      </c>
      <c r="AK274">
        <v>0</v>
      </c>
      <c r="AL274">
        <v>0</v>
      </c>
      <c r="AM274">
        <v>0</v>
      </c>
      <c r="AN274">
        <v>0</v>
      </c>
      <c r="AO274">
        <v>0</v>
      </c>
      <c r="AP274" s="2">
        <v>42831</v>
      </c>
      <c r="AQ274" t="s">
        <v>72</v>
      </c>
      <c r="AR274" t="s">
        <v>72</v>
      </c>
      <c r="AS274">
        <v>657</v>
      </c>
      <c r="AT274" s="4">
        <v>42795</v>
      </c>
      <c r="AU274" t="s">
        <v>73</v>
      </c>
      <c r="AV274">
        <v>657</v>
      </c>
      <c r="AW274" s="4">
        <v>42795</v>
      </c>
      <c r="BA274">
        <v>29.15</v>
      </c>
      <c r="BD274">
        <v>0</v>
      </c>
      <c r="BN274" t="s">
        <v>74</v>
      </c>
    </row>
    <row r="275" spans="1:66">
      <c r="A275">
        <v>100241</v>
      </c>
      <c r="B275" t="s">
        <v>118</v>
      </c>
      <c r="C275" s="1">
        <v>43300101</v>
      </c>
      <c r="D275" t="s">
        <v>67</v>
      </c>
      <c r="H275" t="str">
        <f t="shared" si="33"/>
        <v>06716210635</v>
      </c>
      <c r="I275" t="str">
        <f t="shared" si="33"/>
        <v>06716210635</v>
      </c>
      <c r="K275" t="str">
        <f>""</f>
        <v/>
      </c>
      <c r="M275" t="s">
        <v>68</v>
      </c>
      <c r="N275" t="str">
        <f t="shared" si="32"/>
        <v>FOR</v>
      </c>
      <c r="O275" t="s">
        <v>69</v>
      </c>
      <c r="P275" t="s">
        <v>75</v>
      </c>
      <c r="Q275">
        <v>2016</v>
      </c>
      <c r="R275" s="4">
        <v>42657</v>
      </c>
      <c r="S275" s="2">
        <v>42676</v>
      </c>
      <c r="T275" s="2">
        <v>42674</v>
      </c>
      <c r="U275" s="4">
        <v>42734</v>
      </c>
      <c r="V275" t="s">
        <v>71</v>
      </c>
      <c r="W275" t="str">
        <f>"         001202-0CPA"</f>
        <v xml:space="preserve">         001202-0CPA</v>
      </c>
      <c r="X275">
        <v>808.25</v>
      </c>
      <c r="Y275">
        <v>0</v>
      </c>
      <c r="Z275" s="5">
        <v>662.5</v>
      </c>
      <c r="AA275" s="3">
        <v>61</v>
      </c>
      <c r="AB275" s="5">
        <v>40412.5</v>
      </c>
      <c r="AC275">
        <v>662.5</v>
      </c>
      <c r="AD275">
        <v>61</v>
      </c>
      <c r="AE275" s="1">
        <v>40412.5</v>
      </c>
      <c r="AF275">
        <v>145.75</v>
      </c>
      <c r="AJ275">
        <v>0</v>
      </c>
      <c r="AK275">
        <v>0</v>
      </c>
      <c r="AL275">
        <v>0</v>
      </c>
      <c r="AM275">
        <v>0</v>
      </c>
      <c r="AN275">
        <v>0</v>
      </c>
      <c r="AO275">
        <v>0</v>
      </c>
      <c r="AP275" s="2">
        <v>42831</v>
      </c>
      <c r="AQ275" t="s">
        <v>72</v>
      </c>
      <c r="AR275" t="s">
        <v>72</v>
      </c>
      <c r="AS275">
        <v>657</v>
      </c>
      <c r="AT275" s="4">
        <v>42795</v>
      </c>
      <c r="AU275" t="s">
        <v>73</v>
      </c>
      <c r="AV275">
        <v>657</v>
      </c>
      <c r="AW275" s="4">
        <v>42795</v>
      </c>
      <c r="BA275">
        <v>145.75</v>
      </c>
      <c r="BD275">
        <v>0</v>
      </c>
      <c r="BN275" t="s">
        <v>74</v>
      </c>
    </row>
    <row r="276" spans="1:66">
      <c r="A276">
        <v>100241</v>
      </c>
      <c r="B276" t="s">
        <v>118</v>
      </c>
      <c r="C276" s="1">
        <v>43300101</v>
      </c>
      <c r="D276" t="s">
        <v>67</v>
      </c>
      <c r="H276" t="str">
        <f t="shared" si="33"/>
        <v>06716210635</v>
      </c>
      <c r="I276" t="str">
        <f t="shared" si="33"/>
        <v>06716210635</v>
      </c>
      <c r="K276" t="str">
        <f>""</f>
        <v/>
      </c>
      <c r="M276" t="s">
        <v>68</v>
      </c>
      <c r="N276" t="str">
        <f t="shared" si="32"/>
        <v>FOR</v>
      </c>
      <c r="O276" t="s">
        <v>69</v>
      </c>
      <c r="P276" t="s">
        <v>75</v>
      </c>
      <c r="Q276">
        <v>2016</v>
      </c>
      <c r="R276" s="4">
        <v>42692</v>
      </c>
      <c r="S276" s="2">
        <v>42718</v>
      </c>
      <c r="T276" s="2">
        <v>42716</v>
      </c>
      <c r="U276" s="4">
        <v>42776</v>
      </c>
      <c r="V276" t="s">
        <v>71</v>
      </c>
      <c r="W276" t="str">
        <f>"         001362-0CPA"</f>
        <v xml:space="preserve">         001362-0CPA</v>
      </c>
      <c r="X276" s="1">
        <v>1423.01</v>
      </c>
      <c r="Y276">
        <v>0</v>
      </c>
      <c r="Z276" s="5">
        <v>1166.4000000000001</v>
      </c>
      <c r="AA276" s="3">
        <v>19</v>
      </c>
      <c r="AB276" s="5">
        <v>22161.599999999999</v>
      </c>
      <c r="AC276" s="1">
        <v>1166.4000000000001</v>
      </c>
      <c r="AD276">
        <v>19</v>
      </c>
      <c r="AE276" s="1">
        <v>22161.599999999999</v>
      </c>
      <c r="AF276">
        <v>256.61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 s="2">
        <v>42831</v>
      </c>
      <c r="AQ276" t="s">
        <v>72</v>
      </c>
      <c r="AR276" t="s">
        <v>72</v>
      </c>
      <c r="AS276">
        <v>657</v>
      </c>
      <c r="AT276" s="4">
        <v>42795</v>
      </c>
      <c r="AU276" t="s">
        <v>73</v>
      </c>
      <c r="AV276">
        <v>657</v>
      </c>
      <c r="AW276" s="4">
        <v>42795</v>
      </c>
      <c r="AY276">
        <v>256.61</v>
      </c>
      <c r="BD276">
        <v>0</v>
      </c>
      <c r="BN276" t="s">
        <v>74</v>
      </c>
    </row>
    <row r="277" spans="1:66">
      <c r="A277">
        <v>100241</v>
      </c>
      <c r="B277" t="s">
        <v>118</v>
      </c>
      <c r="C277" s="1">
        <v>43300101</v>
      </c>
      <c r="D277" t="s">
        <v>67</v>
      </c>
      <c r="H277" t="str">
        <f t="shared" si="33"/>
        <v>06716210635</v>
      </c>
      <c r="I277" t="str">
        <f t="shared" si="33"/>
        <v>06716210635</v>
      </c>
      <c r="K277" t="str">
        <f>""</f>
        <v/>
      </c>
      <c r="M277" t="s">
        <v>68</v>
      </c>
      <c r="N277" t="str">
        <f t="shared" si="32"/>
        <v>FOR</v>
      </c>
      <c r="O277" t="s">
        <v>69</v>
      </c>
      <c r="P277" t="s">
        <v>75</v>
      </c>
      <c r="Q277">
        <v>2016</v>
      </c>
      <c r="R277" s="4">
        <v>42699</v>
      </c>
      <c r="S277" s="2">
        <v>42767</v>
      </c>
      <c r="T277" s="2">
        <v>42760</v>
      </c>
      <c r="U277" s="4">
        <v>42820</v>
      </c>
      <c r="V277" t="s">
        <v>71</v>
      </c>
      <c r="W277" t="str">
        <f>"         001400-0CPA"</f>
        <v xml:space="preserve">         001400-0CPA</v>
      </c>
      <c r="X277">
        <v>85.4</v>
      </c>
      <c r="Y277">
        <v>0</v>
      </c>
      <c r="Z277" s="5">
        <v>70</v>
      </c>
      <c r="AA277" s="3">
        <v>-25</v>
      </c>
      <c r="AB277" s="5">
        <v>-1750</v>
      </c>
      <c r="AC277">
        <v>70</v>
      </c>
      <c r="AD277">
        <v>-25</v>
      </c>
      <c r="AE277" s="1">
        <v>-1750</v>
      </c>
      <c r="AF277">
        <v>15.4</v>
      </c>
      <c r="AJ277">
        <v>0</v>
      </c>
      <c r="AK277">
        <v>85.4</v>
      </c>
      <c r="AL277">
        <v>0</v>
      </c>
      <c r="AM277">
        <v>0</v>
      </c>
      <c r="AN277">
        <v>85.4</v>
      </c>
      <c r="AO277">
        <v>0</v>
      </c>
      <c r="AP277" s="2">
        <v>42831</v>
      </c>
      <c r="AQ277" t="s">
        <v>72</v>
      </c>
      <c r="AR277" t="s">
        <v>72</v>
      </c>
      <c r="AS277">
        <v>657</v>
      </c>
      <c r="AT277" s="4">
        <v>42795</v>
      </c>
      <c r="AV277">
        <v>657</v>
      </c>
      <c r="AW277" s="4">
        <v>42795</v>
      </c>
      <c r="AX277">
        <v>15.4</v>
      </c>
      <c r="BD277">
        <v>0</v>
      </c>
      <c r="BN277" t="s">
        <v>74</v>
      </c>
    </row>
    <row r="278" spans="1:66">
      <c r="A278">
        <v>100241</v>
      </c>
      <c r="B278" t="s">
        <v>118</v>
      </c>
      <c r="C278" s="1">
        <v>43300101</v>
      </c>
      <c r="D278" t="s">
        <v>67</v>
      </c>
      <c r="H278" t="str">
        <f t="shared" si="33"/>
        <v>06716210635</v>
      </c>
      <c r="I278" t="str">
        <f t="shared" si="33"/>
        <v>06716210635</v>
      </c>
      <c r="K278" t="str">
        <f>""</f>
        <v/>
      </c>
      <c r="M278" t="s">
        <v>68</v>
      </c>
      <c r="N278" t="str">
        <f t="shared" si="32"/>
        <v>FOR</v>
      </c>
      <c r="O278" t="s">
        <v>69</v>
      </c>
      <c r="P278" t="s">
        <v>75</v>
      </c>
      <c r="Q278">
        <v>2016</v>
      </c>
      <c r="R278" s="4">
        <v>42704</v>
      </c>
      <c r="S278" s="2">
        <v>42767</v>
      </c>
      <c r="T278" s="2">
        <v>42760</v>
      </c>
      <c r="U278" s="4">
        <v>42820</v>
      </c>
      <c r="V278" t="s">
        <v>71</v>
      </c>
      <c r="W278" t="str">
        <f>"         001456-0CPA"</f>
        <v xml:space="preserve">         001456-0CPA</v>
      </c>
      <c r="X278">
        <v>339.53</v>
      </c>
      <c r="Y278">
        <v>0</v>
      </c>
      <c r="Z278" s="5">
        <v>278.3</v>
      </c>
      <c r="AA278" s="3">
        <v>-25</v>
      </c>
      <c r="AB278" s="5">
        <v>-6957.5</v>
      </c>
      <c r="AC278">
        <v>278.3</v>
      </c>
      <c r="AD278">
        <v>-25</v>
      </c>
      <c r="AE278" s="1">
        <v>-6957.5</v>
      </c>
      <c r="AF278">
        <v>61.23</v>
      </c>
      <c r="AJ278">
        <v>0</v>
      </c>
      <c r="AK278">
        <v>339.53</v>
      </c>
      <c r="AL278">
        <v>0</v>
      </c>
      <c r="AM278">
        <v>0</v>
      </c>
      <c r="AN278">
        <v>339.53</v>
      </c>
      <c r="AO278">
        <v>0</v>
      </c>
      <c r="AP278" s="2">
        <v>42831</v>
      </c>
      <c r="AQ278" t="s">
        <v>72</v>
      </c>
      <c r="AR278" t="s">
        <v>72</v>
      </c>
      <c r="AS278">
        <v>657</v>
      </c>
      <c r="AT278" s="4">
        <v>42795</v>
      </c>
      <c r="AV278">
        <v>657</v>
      </c>
      <c r="AW278" s="4">
        <v>42795</v>
      </c>
      <c r="AX278">
        <v>61.23</v>
      </c>
      <c r="BD278">
        <v>0</v>
      </c>
      <c r="BN278" t="s">
        <v>74</v>
      </c>
    </row>
    <row r="279" spans="1:66">
      <c r="A279">
        <v>100241</v>
      </c>
      <c r="B279" t="s">
        <v>118</v>
      </c>
      <c r="C279" s="1">
        <v>43300101</v>
      </c>
      <c r="D279" t="s">
        <v>67</v>
      </c>
      <c r="H279" t="str">
        <f t="shared" si="33"/>
        <v>06716210635</v>
      </c>
      <c r="I279" t="str">
        <f t="shared" si="33"/>
        <v>06716210635</v>
      </c>
      <c r="K279" t="str">
        <f>""</f>
        <v/>
      </c>
      <c r="M279" t="s">
        <v>68</v>
      </c>
      <c r="N279" t="str">
        <f t="shared" si="32"/>
        <v>FOR</v>
      </c>
      <c r="O279" t="s">
        <v>69</v>
      </c>
      <c r="P279" t="s">
        <v>75</v>
      </c>
      <c r="Q279">
        <v>2016</v>
      </c>
      <c r="R279" s="4">
        <v>42734</v>
      </c>
      <c r="S279" s="2">
        <v>42780</v>
      </c>
      <c r="T279" s="2">
        <v>42779</v>
      </c>
      <c r="U279" s="4">
        <v>42839</v>
      </c>
      <c r="V279" t="s">
        <v>71</v>
      </c>
      <c r="W279" t="str">
        <f>"         001614-0CPA"</f>
        <v xml:space="preserve">         001614-0CPA</v>
      </c>
      <c r="X279" s="1">
        <v>1730.08</v>
      </c>
      <c r="Y279">
        <v>0</v>
      </c>
      <c r="Z279" s="5">
        <v>1418.1</v>
      </c>
      <c r="AA279" s="3">
        <v>-44</v>
      </c>
      <c r="AB279" s="5">
        <v>-62396.4</v>
      </c>
      <c r="AC279" s="1">
        <v>1418.1</v>
      </c>
      <c r="AD279">
        <v>-44</v>
      </c>
      <c r="AE279" s="1">
        <v>-62396.4</v>
      </c>
      <c r="AF279">
        <v>311.98</v>
      </c>
      <c r="AJ279">
        <v>0</v>
      </c>
      <c r="AK279" s="1">
        <v>1730.08</v>
      </c>
      <c r="AL279">
        <v>0</v>
      </c>
      <c r="AM279">
        <v>0</v>
      </c>
      <c r="AN279" s="1">
        <v>1730.08</v>
      </c>
      <c r="AO279">
        <v>0</v>
      </c>
      <c r="AP279" s="2">
        <v>42831</v>
      </c>
      <c r="AQ279" t="s">
        <v>72</v>
      </c>
      <c r="AR279" t="s">
        <v>72</v>
      </c>
      <c r="AS279">
        <v>657</v>
      </c>
      <c r="AT279" s="4">
        <v>42795</v>
      </c>
      <c r="AV279">
        <v>657</v>
      </c>
      <c r="AW279" s="4">
        <v>42795</v>
      </c>
      <c r="BD279">
        <v>0</v>
      </c>
      <c r="BF279">
        <v>311.98</v>
      </c>
      <c r="BN279" t="s">
        <v>74</v>
      </c>
    </row>
    <row r="280" spans="1:66">
      <c r="A280">
        <v>100251</v>
      </c>
      <c r="B280" t="s">
        <v>119</v>
      </c>
      <c r="C280" s="1">
        <v>43500101</v>
      </c>
      <c r="D280" t="s">
        <v>98</v>
      </c>
      <c r="H280" t="str">
        <f>"PRTMCL72S43D469N"</f>
        <v>PRTMCL72S43D469N</v>
      </c>
      <c r="I280" t="str">
        <f>"01336850621"</f>
        <v>01336850621</v>
      </c>
      <c r="K280" t="str">
        <f>""</f>
        <v/>
      </c>
      <c r="M280" t="s">
        <v>68</v>
      </c>
      <c r="N280" t="str">
        <f>"ALTPRO"</f>
        <v>ALTPRO</v>
      </c>
      <c r="O280" t="s">
        <v>116</v>
      </c>
      <c r="P280" t="s">
        <v>120</v>
      </c>
      <c r="Q280">
        <v>2017</v>
      </c>
      <c r="R280" s="4">
        <v>42773</v>
      </c>
      <c r="S280" s="2">
        <v>42775</v>
      </c>
      <c r="T280" s="2">
        <v>42774</v>
      </c>
      <c r="U280" s="4">
        <v>42834</v>
      </c>
      <c r="V280" t="s">
        <v>71</v>
      </c>
      <c r="W280" t="str">
        <f>"                2-PA"</f>
        <v xml:space="preserve">                2-PA</v>
      </c>
      <c r="X280" s="1">
        <v>2458.4</v>
      </c>
      <c r="Y280">
        <v>-491.68</v>
      </c>
      <c r="Z280" s="5">
        <v>1966.72</v>
      </c>
      <c r="AA280" s="3">
        <v>-58</v>
      </c>
      <c r="AB280" s="5">
        <v>-114069.75999999999</v>
      </c>
      <c r="AC280" s="1">
        <v>1966.72</v>
      </c>
      <c r="AD280">
        <v>-58</v>
      </c>
      <c r="AE280" s="1">
        <v>-114069.75999999999</v>
      </c>
      <c r="AF280">
        <v>0</v>
      </c>
      <c r="AJ280" s="1">
        <v>1966.72</v>
      </c>
      <c r="AK280" s="1">
        <v>1966.72</v>
      </c>
      <c r="AL280" s="1">
        <v>1966.72</v>
      </c>
      <c r="AM280" s="1">
        <v>1966.72</v>
      </c>
      <c r="AN280" s="1">
        <v>1966.72</v>
      </c>
      <c r="AO280" s="1">
        <v>1966.72</v>
      </c>
      <c r="AP280" s="2">
        <v>42831</v>
      </c>
      <c r="AQ280" t="s">
        <v>72</v>
      </c>
      <c r="AR280" t="s">
        <v>72</v>
      </c>
      <c r="AS280">
        <v>386</v>
      </c>
      <c r="AT280" s="4">
        <v>42776</v>
      </c>
      <c r="AV280">
        <v>386</v>
      </c>
      <c r="AW280" s="4">
        <v>42776</v>
      </c>
      <c r="BD280">
        <v>0</v>
      </c>
      <c r="BN280" t="s">
        <v>74</v>
      </c>
    </row>
    <row r="281" spans="1:66">
      <c r="A281">
        <v>100251</v>
      </c>
      <c r="B281" t="s">
        <v>119</v>
      </c>
      <c r="C281" s="1">
        <v>43500101</v>
      </c>
      <c r="D281" t="s">
        <v>98</v>
      </c>
      <c r="H281" t="str">
        <f>"PRTMCL72S43D469N"</f>
        <v>PRTMCL72S43D469N</v>
      </c>
      <c r="I281" t="str">
        <f>"01336850621"</f>
        <v>01336850621</v>
      </c>
      <c r="K281" t="str">
        <f>""</f>
        <v/>
      </c>
      <c r="M281" t="s">
        <v>68</v>
      </c>
      <c r="N281" t="str">
        <f>"ALTPRO"</f>
        <v>ALTPRO</v>
      </c>
      <c r="O281" t="s">
        <v>116</v>
      </c>
      <c r="P281" t="s">
        <v>120</v>
      </c>
      <c r="Q281">
        <v>2017</v>
      </c>
      <c r="R281" s="4">
        <v>42797</v>
      </c>
      <c r="S281" s="2">
        <v>42801</v>
      </c>
      <c r="T281" s="2">
        <v>42800</v>
      </c>
      <c r="U281" s="4">
        <v>42860</v>
      </c>
      <c r="V281" t="s">
        <v>71</v>
      </c>
      <c r="W281" t="str">
        <f>"                3-PA"</f>
        <v xml:space="preserve">                3-PA</v>
      </c>
      <c r="X281" s="1">
        <v>2370.6</v>
      </c>
      <c r="Y281">
        <v>-474.12</v>
      </c>
      <c r="Z281" s="5">
        <v>1896.48</v>
      </c>
      <c r="AA281" s="3">
        <v>-57</v>
      </c>
      <c r="AB281" s="5">
        <v>-108099.36</v>
      </c>
      <c r="AC281" s="1">
        <v>1896.48</v>
      </c>
      <c r="AD281">
        <v>-57</v>
      </c>
      <c r="AE281" s="1">
        <v>-108099.36</v>
      </c>
      <c r="AF281">
        <v>0</v>
      </c>
      <c r="AJ281" s="1">
        <v>1896.48</v>
      </c>
      <c r="AK281" s="1">
        <v>1896.48</v>
      </c>
      <c r="AL281" s="1">
        <v>1896.48</v>
      </c>
      <c r="AM281" s="1">
        <v>1896.48</v>
      </c>
      <c r="AN281" s="1">
        <v>1896.48</v>
      </c>
      <c r="AO281" s="1">
        <v>1896.48</v>
      </c>
      <c r="AP281" s="2">
        <v>42831</v>
      </c>
      <c r="AQ281" t="s">
        <v>72</v>
      </c>
      <c r="AR281" t="s">
        <v>72</v>
      </c>
      <c r="AS281">
        <v>753</v>
      </c>
      <c r="AT281" s="4">
        <v>42803</v>
      </c>
      <c r="AV281">
        <v>753</v>
      </c>
      <c r="AW281" s="4">
        <v>42803</v>
      </c>
      <c r="BD281">
        <v>0</v>
      </c>
      <c r="BN281" t="s">
        <v>74</v>
      </c>
    </row>
    <row r="282" spans="1:66">
      <c r="A282">
        <v>100251</v>
      </c>
      <c r="B282" t="s">
        <v>119</v>
      </c>
      <c r="C282" s="1">
        <v>43500101</v>
      </c>
      <c r="D282" t="s">
        <v>98</v>
      </c>
      <c r="H282" t="str">
        <f>"PRTMCL72S43D469N"</f>
        <v>PRTMCL72S43D469N</v>
      </c>
      <c r="I282" t="str">
        <f>"01336850621"</f>
        <v>01336850621</v>
      </c>
      <c r="K282" t="str">
        <f>""</f>
        <v/>
      </c>
      <c r="M282" t="s">
        <v>68</v>
      </c>
      <c r="N282" t="str">
        <f>"ALTPRO"</f>
        <v>ALTPRO</v>
      </c>
      <c r="O282" t="s">
        <v>116</v>
      </c>
      <c r="P282" t="s">
        <v>120</v>
      </c>
      <c r="Q282">
        <v>2017</v>
      </c>
      <c r="R282" s="4">
        <v>42739</v>
      </c>
      <c r="S282" s="2">
        <v>42747</v>
      </c>
      <c r="T282" s="2">
        <v>42745</v>
      </c>
      <c r="U282" s="4">
        <v>42805</v>
      </c>
      <c r="V282" t="s">
        <v>71</v>
      </c>
      <c r="W282" t="str">
        <f>"               01-PA"</f>
        <v xml:space="preserve">               01-PA</v>
      </c>
      <c r="X282" s="1">
        <v>2005.87</v>
      </c>
      <c r="Y282">
        <v>-401.17</v>
      </c>
      <c r="Z282" s="5">
        <v>1604.7</v>
      </c>
      <c r="AA282" s="3">
        <v>-40</v>
      </c>
      <c r="AB282" s="5">
        <v>-64188</v>
      </c>
      <c r="AC282" s="1">
        <v>1604.7</v>
      </c>
      <c r="AD282">
        <v>-40</v>
      </c>
      <c r="AE282" s="1">
        <v>-64188</v>
      </c>
      <c r="AF282">
        <v>0</v>
      </c>
      <c r="AJ282">
        <v>-401.17</v>
      </c>
      <c r="AK282" s="1">
        <v>1604.7</v>
      </c>
      <c r="AL282" s="1">
        <v>1604.7</v>
      </c>
      <c r="AM282">
        <v>-401.17</v>
      </c>
      <c r="AN282" s="1">
        <v>1604.7</v>
      </c>
      <c r="AO282" s="1">
        <v>1604.7</v>
      </c>
      <c r="AP282" s="2">
        <v>42831</v>
      </c>
      <c r="AQ282" t="s">
        <v>72</v>
      </c>
      <c r="AR282" t="s">
        <v>72</v>
      </c>
      <c r="AS282">
        <v>120</v>
      </c>
      <c r="AT282" s="4">
        <v>42765</v>
      </c>
      <c r="AV282">
        <v>120</v>
      </c>
      <c r="AW282" s="4">
        <v>42765</v>
      </c>
      <c r="BD282">
        <v>0</v>
      </c>
      <c r="BN282" t="s">
        <v>74</v>
      </c>
    </row>
    <row r="283" spans="1:66">
      <c r="A283">
        <v>100254</v>
      </c>
      <c r="B283" t="s">
        <v>121</v>
      </c>
      <c r="C283" s="1">
        <v>43300101</v>
      </c>
      <c r="D283" t="s">
        <v>67</v>
      </c>
      <c r="H283" t="str">
        <f t="shared" ref="H283:I289" si="34">"06849270639"</f>
        <v>06849270639</v>
      </c>
      <c r="I283" t="str">
        <f t="shared" si="34"/>
        <v>06849270639</v>
      </c>
      <c r="K283" t="str">
        <f>""</f>
        <v/>
      </c>
      <c r="M283" t="s">
        <v>68</v>
      </c>
      <c r="N283" t="str">
        <f t="shared" ref="N283:N320" si="35">"FOR"</f>
        <v>FOR</v>
      </c>
      <c r="O283" t="s">
        <v>69</v>
      </c>
      <c r="P283" t="s">
        <v>75</v>
      </c>
      <c r="Q283">
        <v>2016</v>
      </c>
      <c r="R283" s="4">
        <v>42431</v>
      </c>
      <c r="S283" s="2">
        <v>42461</v>
      </c>
      <c r="T283" s="2">
        <v>42450</v>
      </c>
      <c r="U283" s="4">
        <v>42510</v>
      </c>
      <c r="V283" t="s">
        <v>71</v>
      </c>
      <c r="W283" t="str">
        <f>"                 284"</f>
        <v xml:space="preserve">                 284</v>
      </c>
      <c r="X283">
        <v>732</v>
      </c>
      <c r="Y283">
        <v>0</v>
      </c>
      <c r="Z283" s="5">
        <v>600</v>
      </c>
      <c r="AA283" s="3">
        <v>256</v>
      </c>
      <c r="AB283" s="5">
        <v>153600</v>
      </c>
      <c r="AC283">
        <v>600</v>
      </c>
      <c r="AD283">
        <v>256</v>
      </c>
      <c r="AE283" s="1">
        <v>153600</v>
      </c>
      <c r="AF283">
        <v>0</v>
      </c>
      <c r="AJ283">
        <v>0</v>
      </c>
      <c r="AK283">
        <v>0</v>
      </c>
      <c r="AL283">
        <v>0</v>
      </c>
      <c r="AM283">
        <v>0</v>
      </c>
      <c r="AN283">
        <v>0</v>
      </c>
      <c r="AO283">
        <v>0</v>
      </c>
      <c r="AP283" s="2">
        <v>42831</v>
      </c>
      <c r="AQ283" t="s">
        <v>72</v>
      </c>
      <c r="AR283" t="s">
        <v>72</v>
      </c>
      <c r="AS283">
        <v>169</v>
      </c>
      <c r="AT283" s="4">
        <v>42766</v>
      </c>
      <c r="AU283" t="s">
        <v>73</v>
      </c>
      <c r="AV283">
        <v>169</v>
      </c>
      <c r="AW283" s="4">
        <v>42766</v>
      </c>
      <c r="BD283">
        <v>0</v>
      </c>
      <c r="BN283" t="s">
        <v>74</v>
      </c>
    </row>
    <row r="284" spans="1:66">
      <c r="A284">
        <v>100254</v>
      </c>
      <c r="B284" t="s">
        <v>121</v>
      </c>
      <c r="C284" s="1">
        <v>43300101</v>
      </c>
      <c r="D284" t="s">
        <v>67</v>
      </c>
      <c r="H284" t="str">
        <f t="shared" si="34"/>
        <v>06849270639</v>
      </c>
      <c r="I284" t="str">
        <f t="shared" si="34"/>
        <v>06849270639</v>
      </c>
      <c r="K284" t="str">
        <f>""</f>
        <v/>
      </c>
      <c r="M284" t="s">
        <v>68</v>
      </c>
      <c r="N284" t="str">
        <f t="shared" si="35"/>
        <v>FOR</v>
      </c>
      <c r="O284" t="s">
        <v>69</v>
      </c>
      <c r="P284" t="s">
        <v>75</v>
      </c>
      <c r="Q284">
        <v>2016</v>
      </c>
      <c r="R284" s="4">
        <v>42431</v>
      </c>
      <c r="S284" s="2">
        <v>42461</v>
      </c>
      <c r="T284" s="2">
        <v>42450</v>
      </c>
      <c r="U284" s="4">
        <v>42510</v>
      </c>
      <c r="V284" t="s">
        <v>71</v>
      </c>
      <c r="W284" t="str">
        <f>"                 285"</f>
        <v xml:space="preserve">                 285</v>
      </c>
      <c r="X284">
        <v>292.8</v>
      </c>
      <c r="Y284">
        <v>0</v>
      </c>
      <c r="Z284" s="5">
        <v>240</v>
      </c>
      <c r="AA284" s="3">
        <v>256</v>
      </c>
      <c r="AB284" s="5">
        <v>61440</v>
      </c>
      <c r="AC284">
        <v>240</v>
      </c>
      <c r="AD284">
        <v>256</v>
      </c>
      <c r="AE284" s="1">
        <v>61440</v>
      </c>
      <c r="AF284">
        <v>0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 s="2">
        <v>42831</v>
      </c>
      <c r="AQ284" t="s">
        <v>72</v>
      </c>
      <c r="AR284" t="s">
        <v>72</v>
      </c>
      <c r="AS284">
        <v>169</v>
      </c>
      <c r="AT284" s="4">
        <v>42766</v>
      </c>
      <c r="AU284" t="s">
        <v>73</v>
      </c>
      <c r="AV284">
        <v>169</v>
      </c>
      <c r="AW284" s="4">
        <v>42766</v>
      </c>
      <c r="BD284">
        <v>0</v>
      </c>
      <c r="BN284" t="s">
        <v>74</v>
      </c>
    </row>
    <row r="285" spans="1:66">
      <c r="A285">
        <v>100254</v>
      </c>
      <c r="B285" t="s">
        <v>121</v>
      </c>
      <c r="C285" s="1">
        <v>43300101</v>
      </c>
      <c r="D285" t="s">
        <v>67</v>
      </c>
      <c r="H285" t="str">
        <f t="shared" si="34"/>
        <v>06849270639</v>
      </c>
      <c r="I285" t="str">
        <f t="shared" si="34"/>
        <v>06849270639</v>
      </c>
      <c r="K285" t="str">
        <f>""</f>
        <v/>
      </c>
      <c r="M285" t="s">
        <v>68</v>
      </c>
      <c r="N285" t="str">
        <f t="shared" si="35"/>
        <v>FOR</v>
      </c>
      <c r="O285" t="s">
        <v>69</v>
      </c>
      <c r="P285" t="s">
        <v>75</v>
      </c>
      <c r="Q285">
        <v>2016</v>
      </c>
      <c r="R285" s="4">
        <v>42460</v>
      </c>
      <c r="S285" s="2">
        <v>42479</v>
      </c>
      <c r="T285" s="2">
        <v>42478</v>
      </c>
      <c r="U285" s="4">
        <v>42538</v>
      </c>
      <c r="V285" t="s">
        <v>71</v>
      </c>
      <c r="W285" t="str">
        <f>"                 384"</f>
        <v xml:space="preserve">                 384</v>
      </c>
      <c r="X285">
        <v>122</v>
      </c>
      <c r="Y285">
        <v>0</v>
      </c>
      <c r="Z285" s="5">
        <v>100</v>
      </c>
      <c r="AA285" s="3">
        <v>228</v>
      </c>
      <c r="AB285" s="5">
        <v>22800</v>
      </c>
      <c r="AC285">
        <v>100</v>
      </c>
      <c r="AD285">
        <v>228</v>
      </c>
      <c r="AE285" s="1">
        <v>22800</v>
      </c>
      <c r="AF285">
        <v>0</v>
      </c>
      <c r="AJ285">
        <v>0</v>
      </c>
      <c r="AK285">
        <v>0</v>
      </c>
      <c r="AL285">
        <v>0</v>
      </c>
      <c r="AM285">
        <v>0</v>
      </c>
      <c r="AN285">
        <v>0</v>
      </c>
      <c r="AO285">
        <v>0</v>
      </c>
      <c r="AP285" s="2">
        <v>42831</v>
      </c>
      <c r="AQ285" t="s">
        <v>72</v>
      </c>
      <c r="AR285" t="s">
        <v>72</v>
      </c>
      <c r="AS285">
        <v>169</v>
      </c>
      <c r="AT285" s="4">
        <v>42766</v>
      </c>
      <c r="AU285" t="s">
        <v>73</v>
      </c>
      <c r="AV285">
        <v>169</v>
      </c>
      <c r="AW285" s="4">
        <v>42766</v>
      </c>
      <c r="BD285">
        <v>0</v>
      </c>
      <c r="BN285" t="s">
        <v>74</v>
      </c>
    </row>
    <row r="286" spans="1:66">
      <c r="A286">
        <v>100254</v>
      </c>
      <c r="B286" t="s">
        <v>121</v>
      </c>
      <c r="C286" s="1">
        <v>43300101</v>
      </c>
      <c r="D286" t="s">
        <v>67</v>
      </c>
      <c r="H286" t="str">
        <f t="shared" si="34"/>
        <v>06849270639</v>
      </c>
      <c r="I286" t="str">
        <f t="shared" si="34"/>
        <v>06849270639</v>
      </c>
      <c r="K286" t="str">
        <f>""</f>
        <v/>
      </c>
      <c r="M286" t="s">
        <v>68</v>
      </c>
      <c r="N286" t="str">
        <f t="shared" si="35"/>
        <v>FOR</v>
      </c>
      <c r="O286" t="s">
        <v>69</v>
      </c>
      <c r="P286" t="s">
        <v>75</v>
      </c>
      <c r="Q286">
        <v>2016</v>
      </c>
      <c r="R286" s="4">
        <v>42460</v>
      </c>
      <c r="S286" s="2">
        <v>42478</v>
      </c>
      <c r="T286" s="2">
        <v>42478</v>
      </c>
      <c r="U286" s="4">
        <v>42538</v>
      </c>
      <c r="V286" t="s">
        <v>71</v>
      </c>
      <c r="W286" t="str">
        <f>"                 385"</f>
        <v xml:space="preserve">                 385</v>
      </c>
      <c r="X286">
        <v>97.6</v>
      </c>
      <c r="Y286">
        <v>0</v>
      </c>
      <c r="Z286" s="5">
        <v>80</v>
      </c>
      <c r="AA286" s="3">
        <v>228</v>
      </c>
      <c r="AB286" s="5">
        <v>18240</v>
      </c>
      <c r="AC286">
        <v>80</v>
      </c>
      <c r="AD286">
        <v>228</v>
      </c>
      <c r="AE286" s="1">
        <v>18240</v>
      </c>
      <c r="AF286">
        <v>0</v>
      </c>
      <c r="AJ286">
        <v>0</v>
      </c>
      <c r="AK286">
        <v>0</v>
      </c>
      <c r="AL286">
        <v>0</v>
      </c>
      <c r="AM286">
        <v>0</v>
      </c>
      <c r="AN286">
        <v>0</v>
      </c>
      <c r="AO286">
        <v>0</v>
      </c>
      <c r="AP286" s="2">
        <v>42831</v>
      </c>
      <c r="AQ286" t="s">
        <v>72</v>
      </c>
      <c r="AR286" t="s">
        <v>72</v>
      </c>
      <c r="AS286">
        <v>169</v>
      </c>
      <c r="AT286" s="4">
        <v>42766</v>
      </c>
      <c r="AU286" t="s">
        <v>73</v>
      </c>
      <c r="AV286">
        <v>169</v>
      </c>
      <c r="AW286" s="4">
        <v>42766</v>
      </c>
      <c r="BD286">
        <v>0</v>
      </c>
      <c r="BN286" t="s">
        <v>74</v>
      </c>
    </row>
    <row r="287" spans="1:66">
      <c r="A287">
        <v>100254</v>
      </c>
      <c r="B287" t="s">
        <v>121</v>
      </c>
      <c r="C287" s="1">
        <v>43300101</v>
      </c>
      <c r="D287" t="s">
        <v>67</v>
      </c>
      <c r="H287" t="str">
        <f t="shared" si="34"/>
        <v>06849270639</v>
      </c>
      <c r="I287" t="str">
        <f t="shared" si="34"/>
        <v>06849270639</v>
      </c>
      <c r="K287" t="str">
        <f>""</f>
        <v/>
      </c>
      <c r="M287" t="s">
        <v>68</v>
      </c>
      <c r="N287" t="str">
        <f t="shared" si="35"/>
        <v>FOR</v>
      </c>
      <c r="O287" t="s">
        <v>69</v>
      </c>
      <c r="P287" t="s">
        <v>75</v>
      </c>
      <c r="Q287">
        <v>2016</v>
      </c>
      <c r="R287" s="4">
        <v>42489</v>
      </c>
      <c r="S287" s="2">
        <v>42514</v>
      </c>
      <c r="T287" s="2">
        <v>42513</v>
      </c>
      <c r="U287" s="4">
        <v>42573</v>
      </c>
      <c r="V287" t="s">
        <v>71</v>
      </c>
      <c r="W287" t="str">
        <f>"                 540"</f>
        <v xml:space="preserve">                 540</v>
      </c>
      <c r="X287">
        <v>195.2</v>
      </c>
      <c r="Y287">
        <v>0</v>
      </c>
      <c r="Z287" s="5">
        <v>160</v>
      </c>
      <c r="AA287" s="3">
        <v>193</v>
      </c>
      <c r="AB287" s="5">
        <v>30880</v>
      </c>
      <c r="AC287">
        <v>160</v>
      </c>
      <c r="AD287">
        <v>193</v>
      </c>
      <c r="AE287" s="1">
        <v>30880</v>
      </c>
      <c r="AF287">
        <v>0</v>
      </c>
      <c r="AJ287">
        <v>0</v>
      </c>
      <c r="AK287">
        <v>0</v>
      </c>
      <c r="AL287">
        <v>0</v>
      </c>
      <c r="AM287">
        <v>0</v>
      </c>
      <c r="AN287">
        <v>0</v>
      </c>
      <c r="AO287">
        <v>0</v>
      </c>
      <c r="AP287" s="2">
        <v>42831</v>
      </c>
      <c r="AQ287" t="s">
        <v>72</v>
      </c>
      <c r="AR287" t="s">
        <v>72</v>
      </c>
      <c r="AS287">
        <v>169</v>
      </c>
      <c r="AT287" s="4">
        <v>42766</v>
      </c>
      <c r="AU287" t="s">
        <v>73</v>
      </c>
      <c r="AV287">
        <v>169</v>
      </c>
      <c r="AW287" s="4">
        <v>42766</v>
      </c>
      <c r="BD287">
        <v>0</v>
      </c>
      <c r="BN287" t="s">
        <v>74</v>
      </c>
    </row>
    <row r="288" spans="1:66">
      <c r="A288">
        <v>100254</v>
      </c>
      <c r="B288" t="s">
        <v>121</v>
      </c>
      <c r="C288" s="1">
        <v>43300101</v>
      </c>
      <c r="D288" t="s">
        <v>67</v>
      </c>
      <c r="H288" t="str">
        <f t="shared" si="34"/>
        <v>06849270639</v>
      </c>
      <c r="I288" t="str">
        <f t="shared" si="34"/>
        <v>06849270639</v>
      </c>
      <c r="K288" t="str">
        <f>""</f>
        <v/>
      </c>
      <c r="M288" t="s">
        <v>68</v>
      </c>
      <c r="N288" t="str">
        <f t="shared" si="35"/>
        <v>FOR</v>
      </c>
      <c r="O288" t="s">
        <v>69</v>
      </c>
      <c r="P288" t="s">
        <v>75</v>
      </c>
      <c r="Q288">
        <v>2016</v>
      </c>
      <c r="R288" s="4">
        <v>42489</v>
      </c>
      <c r="S288" s="2">
        <v>42514</v>
      </c>
      <c r="T288" s="2">
        <v>42513</v>
      </c>
      <c r="U288" s="4">
        <v>42573</v>
      </c>
      <c r="V288" t="s">
        <v>71</v>
      </c>
      <c r="W288" t="str">
        <f>"                 541"</f>
        <v xml:space="preserve">                 541</v>
      </c>
      <c r="X288">
        <v>610</v>
      </c>
      <c r="Y288">
        <v>0</v>
      </c>
      <c r="Z288" s="5">
        <v>500</v>
      </c>
      <c r="AA288" s="3">
        <v>193</v>
      </c>
      <c r="AB288" s="5">
        <v>96500</v>
      </c>
      <c r="AC288">
        <v>500</v>
      </c>
      <c r="AD288">
        <v>193</v>
      </c>
      <c r="AE288" s="1">
        <v>96500</v>
      </c>
      <c r="AF288">
        <v>0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 s="2">
        <v>42831</v>
      </c>
      <c r="AQ288" t="s">
        <v>72</v>
      </c>
      <c r="AR288" t="s">
        <v>72</v>
      </c>
      <c r="AS288">
        <v>169</v>
      </c>
      <c r="AT288" s="4">
        <v>42766</v>
      </c>
      <c r="AU288" t="s">
        <v>73</v>
      </c>
      <c r="AV288">
        <v>169</v>
      </c>
      <c r="AW288" s="4">
        <v>42766</v>
      </c>
      <c r="BD288">
        <v>0</v>
      </c>
      <c r="BN288" t="s">
        <v>74</v>
      </c>
    </row>
    <row r="289" spans="1:66">
      <c r="A289">
        <v>100254</v>
      </c>
      <c r="B289" t="s">
        <v>121</v>
      </c>
      <c r="C289" s="1">
        <v>43300101</v>
      </c>
      <c r="D289" t="s">
        <v>67</v>
      </c>
      <c r="H289" t="str">
        <f t="shared" si="34"/>
        <v>06849270639</v>
      </c>
      <c r="I289" t="str">
        <f t="shared" si="34"/>
        <v>06849270639</v>
      </c>
      <c r="K289" t="str">
        <f>""</f>
        <v/>
      </c>
      <c r="M289" t="s">
        <v>68</v>
      </c>
      <c r="N289" t="str">
        <f t="shared" si="35"/>
        <v>FOR</v>
      </c>
      <c r="O289" t="s">
        <v>69</v>
      </c>
      <c r="P289" t="s">
        <v>75</v>
      </c>
      <c r="Q289">
        <v>2016</v>
      </c>
      <c r="R289" s="4">
        <v>42557</v>
      </c>
      <c r="S289" s="2">
        <v>42562</v>
      </c>
      <c r="T289" s="2">
        <v>42559</v>
      </c>
      <c r="U289" s="4">
        <v>42619</v>
      </c>
      <c r="V289" t="s">
        <v>71</v>
      </c>
      <c r="W289" t="str">
        <f>"                 787"</f>
        <v xml:space="preserve">                 787</v>
      </c>
      <c r="X289">
        <v>195.2</v>
      </c>
      <c r="Y289">
        <v>0</v>
      </c>
      <c r="Z289" s="5">
        <v>160</v>
      </c>
      <c r="AA289" s="3">
        <v>147</v>
      </c>
      <c r="AB289" s="5">
        <v>23520</v>
      </c>
      <c r="AC289">
        <v>160</v>
      </c>
      <c r="AD289">
        <v>147</v>
      </c>
      <c r="AE289" s="1">
        <v>23520</v>
      </c>
      <c r="AF289">
        <v>0</v>
      </c>
      <c r="AJ289">
        <v>0</v>
      </c>
      <c r="AK289">
        <v>0</v>
      </c>
      <c r="AL289">
        <v>0</v>
      </c>
      <c r="AM289">
        <v>0</v>
      </c>
      <c r="AN289">
        <v>0</v>
      </c>
      <c r="AO289">
        <v>0</v>
      </c>
      <c r="AP289" s="2">
        <v>42831</v>
      </c>
      <c r="AQ289" t="s">
        <v>72</v>
      </c>
      <c r="AR289" t="s">
        <v>72</v>
      </c>
      <c r="AS289">
        <v>169</v>
      </c>
      <c r="AT289" s="4">
        <v>42766</v>
      </c>
      <c r="AU289" t="s">
        <v>73</v>
      </c>
      <c r="AV289">
        <v>169</v>
      </c>
      <c r="AW289" s="4">
        <v>42766</v>
      </c>
      <c r="BD289">
        <v>0</v>
      </c>
      <c r="BN289" t="s">
        <v>74</v>
      </c>
    </row>
    <row r="290" spans="1:66">
      <c r="A290">
        <v>100256</v>
      </c>
      <c r="B290" t="s">
        <v>122</v>
      </c>
      <c r="C290" s="1">
        <v>43300101</v>
      </c>
      <c r="D290" t="s">
        <v>67</v>
      </c>
      <c r="H290" t="str">
        <f>""</f>
        <v/>
      </c>
      <c r="I290" t="str">
        <f>"01260340482"</f>
        <v>01260340482</v>
      </c>
      <c r="K290" t="str">
        <f>""</f>
        <v/>
      </c>
      <c r="M290" t="s">
        <v>68</v>
      </c>
      <c r="N290" t="str">
        <f t="shared" si="35"/>
        <v>FOR</v>
      </c>
      <c r="O290" t="s">
        <v>69</v>
      </c>
      <c r="P290" t="s">
        <v>75</v>
      </c>
      <c r="Q290">
        <v>2016</v>
      </c>
      <c r="R290" s="4">
        <v>42613</v>
      </c>
      <c r="S290" s="2">
        <v>42642</v>
      </c>
      <c r="T290" s="2">
        <v>42636</v>
      </c>
      <c r="U290" s="4">
        <v>42696</v>
      </c>
      <c r="V290" t="s">
        <v>71</v>
      </c>
      <c r="W290" t="str">
        <f>"              4488/S"</f>
        <v xml:space="preserve">              4488/S</v>
      </c>
      <c r="X290" s="1">
        <v>4266.1000000000004</v>
      </c>
      <c r="Y290">
        <v>0</v>
      </c>
      <c r="Z290" s="5">
        <v>3496.8</v>
      </c>
      <c r="AA290" s="3">
        <v>78</v>
      </c>
      <c r="AB290" s="5">
        <v>272750.40000000002</v>
      </c>
      <c r="AC290" s="1">
        <v>3496.8</v>
      </c>
      <c r="AD290">
        <v>78</v>
      </c>
      <c r="AE290" s="1">
        <v>272750.40000000002</v>
      </c>
      <c r="AF290">
        <v>0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 s="2">
        <v>42831</v>
      </c>
      <c r="AQ290" t="s">
        <v>72</v>
      </c>
      <c r="AR290" t="s">
        <v>72</v>
      </c>
      <c r="AS290">
        <v>324</v>
      </c>
      <c r="AT290" s="4">
        <v>42774</v>
      </c>
      <c r="AU290" t="s">
        <v>73</v>
      </c>
      <c r="AV290">
        <v>324</v>
      </c>
      <c r="AW290" s="4">
        <v>42774</v>
      </c>
      <c r="BD290">
        <v>0</v>
      </c>
      <c r="BN290" t="s">
        <v>74</v>
      </c>
    </row>
    <row r="291" spans="1:66">
      <c r="A291">
        <v>100256</v>
      </c>
      <c r="B291" t="s">
        <v>122</v>
      </c>
      <c r="C291" s="1">
        <v>43300101</v>
      </c>
      <c r="D291" t="s">
        <v>67</v>
      </c>
      <c r="H291" t="str">
        <f>""</f>
        <v/>
      </c>
      <c r="I291" t="str">
        <f>"01260340482"</f>
        <v>01260340482</v>
      </c>
      <c r="K291" t="str">
        <f>""</f>
        <v/>
      </c>
      <c r="M291" t="s">
        <v>68</v>
      </c>
      <c r="N291" t="str">
        <f t="shared" si="35"/>
        <v>FOR</v>
      </c>
      <c r="O291" t="s">
        <v>69</v>
      </c>
      <c r="P291" t="s">
        <v>75</v>
      </c>
      <c r="Q291">
        <v>2016</v>
      </c>
      <c r="R291" s="4">
        <v>42613</v>
      </c>
      <c r="S291" s="2">
        <v>42639</v>
      </c>
      <c r="T291" s="2">
        <v>42636</v>
      </c>
      <c r="U291" s="4">
        <v>42696</v>
      </c>
      <c r="V291" t="s">
        <v>71</v>
      </c>
      <c r="W291" t="str">
        <f>"              4489/S"</f>
        <v xml:space="preserve">              4489/S</v>
      </c>
      <c r="X291">
        <v>22.67</v>
      </c>
      <c r="Y291">
        <v>0</v>
      </c>
      <c r="Z291" s="5">
        <v>18.579999999999998</v>
      </c>
      <c r="AA291" s="3">
        <v>78</v>
      </c>
      <c r="AB291" s="5">
        <v>1449.24</v>
      </c>
      <c r="AC291">
        <v>18.579999999999998</v>
      </c>
      <c r="AD291">
        <v>78</v>
      </c>
      <c r="AE291" s="1">
        <v>1449.24</v>
      </c>
      <c r="AF291">
        <v>0</v>
      </c>
      <c r="AJ291">
        <v>0</v>
      </c>
      <c r="AK291">
        <v>0</v>
      </c>
      <c r="AL291">
        <v>0</v>
      </c>
      <c r="AM291">
        <v>0</v>
      </c>
      <c r="AN291">
        <v>0</v>
      </c>
      <c r="AO291">
        <v>0</v>
      </c>
      <c r="AP291" s="2">
        <v>42831</v>
      </c>
      <c r="AQ291" t="s">
        <v>72</v>
      </c>
      <c r="AR291" t="s">
        <v>72</v>
      </c>
      <c r="AS291">
        <v>324</v>
      </c>
      <c r="AT291" s="4">
        <v>42774</v>
      </c>
      <c r="AU291" t="s">
        <v>73</v>
      </c>
      <c r="AV291">
        <v>324</v>
      </c>
      <c r="AW291" s="4">
        <v>42774</v>
      </c>
      <c r="BD291">
        <v>0</v>
      </c>
      <c r="BN291" t="s">
        <v>74</v>
      </c>
    </row>
    <row r="292" spans="1:66">
      <c r="A292">
        <v>100256</v>
      </c>
      <c r="B292" t="s">
        <v>122</v>
      </c>
      <c r="C292" s="1">
        <v>43300101</v>
      </c>
      <c r="D292" t="s">
        <v>67</v>
      </c>
      <c r="H292" t="str">
        <f>""</f>
        <v/>
      </c>
      <c r="I292" t="str">
        <f>"01260340482"</f>
        <v>01260340482</v>
      </c>
      <c r="K292" t="str">
        <f>""</f>
        <v/>
      </c>
      <c r="M292" t="s">
        <v>68</v>
      </c>
      <c r="N292" t="str">
        <f t="shared" si="35"/>
        <v>FOR</v>
      </c>
      <c r="O292" t="s">
        <v>69</v>
      </c>
      <c r="P292" t="s">
        <v>75</v>
      </c>
      <c r="Q292">
        <v>2016</v>
      </c>
      <c r="R292" s="4">
        <v>42613</v>
      </c>
      <c r="S292" s="2">
        <v>42639</v>
      </c>
      <c r="T292" s="2">
        <v>42636</v>
      </c>
      <c r="U292" s="4">
        <v>42696</v>
      </c>
      <c r="V292" t="s">
        <v>71</v>
      </c>
      <c r="W292" t="str">
        <f>"              4490/S"</f>
        <v xml:space="preserve">              4490/S</v>
      </c>
      <c r="X292" s="1">
        <v>1113.46</v>
      </c>
      <c r="Y292">
        <v>0</v>
      </c>
      <c r="Z292" s="5">
        <v>912.67</v>
      </c>
      <c r="AA292" s="3">
        <v>78</v>
      </c>
      <c r="AB292" s="5">
        <v>71188.259999999995</v>
      </c>
      <c r="AC292">
        <v>912.67</v>
      </c>
      <c r="AD292">
        <v>78</v>
      </c>
      <c r="AE292" s="1">
        <v>71188.259999999995</v>
      </c>
      <c r="AF292">
        <v>0</v>
      </c>
      <c r="AJ292">
        <v>0</v>
      </c>
      <c r="AK292">
        <v>0</v>
      </c>
      <c r="AL292">
        <v>0</v>
      </c>
      <c r="AM292">
        <v>0</v>
      </c>
      <c r="AN292">
        <v>0</v>
      </c>
      <c r="AO292">
        <v>0</v>
      </c>
      <c r="AP292" s="2">
        <v>42831</v>
      </c>
      <c r="AQ292" t="s">
        <v>72</v>
      </c>
      <c r="AR292" t="s">
        <v>72</v>
      </c>
      <c r="AS292">
        <v>324</v>
      </c>
      <c r="AT292" s="4">
        <v>42774</v>
      </c>
      <c r="AU292" t="s">
        <v>73</v>
      </c>
      <c r="AV292">
        <v>324</v>
      </c>
      <c r="AW292" s="4">
        <v>42774</v>
      </c>
      <c r="BD292">
        <v>0</v>
      </c>
      <c r="BN292" t="s">
        <v>74</v>
      </c>
    </row>
    <row r="293" spans="1:66">
      <c r="A293">
        <v>100261</v>
      </c>
      <c r="B293" t="s">
        <v>123</v>
      </c>
      <c r="C293" s="1">
        <v>43300101</v>
      </c>
      <c r="D293" t="s">
        <v>67</v>
      </c>
      <c r="H293" t="str">
        <f>"05506871002"</f>
        <v>05506871002</v>
      </c>
      <c r="I293" t="str">
        <f>"05506871002"</f>
        <v>05506871002</v>
      </c>
      <c r="K293" t="str">
        <f>""</f>
        <v/>
      </c>
      <c r="M293" t="s">
        <v>68</v>
      </c>
      <c r="N293" t="str">
        <f t="shared" si="35"/>
        <v>FOR</v>
      </c>
      <c r="O293" t="s">
        <v>69</v>
      </c>
      <c r="P293" t="s">
        <v>75</v>
      </c>
      <c r="Q293">
        <v>2016</v>
      </c>
      <c r="R293" s="4">
        <v>42486</v>
      </c>
      <c r="S293" s="2">
        <v>42486</v>
      </c>
      <c r="T293" s="2">
        <v>42486</v>
      </c>
      <c r="U293" s="4">
        <v>42546</v>
      </c>
      <c r="V293" t="s">
        <v>71</v>
      </c>
      <c r="W293" t="str">
        <f>"            60001849"</f>
        <v xml:space="preserve">            60001849</v>
      </c>
      <c r="X293" s="1">
        <v>2039.84</v>
      </c>
      <c r="Y293">
        <v>0</v>
      </c>
      <c r="Z293" s="5">
        <v>1672</v>
      </c>
      <c r="AA293" s="3">
        <v>236</v>
      </c>
      <c r="AB293" s="5">
        <v>394592</v>
      </c>
      <c r="AC293" s="1">
        <v>1672</v>
      </c>
      <c r="AD293">
        <v>236</v>
      </c>
      <c r="AE293" s="1">
        <v>394592</v>
      </c>
      <c r="AF293">
        <v>0</v>
      </c>
      <c r="AJ293">
        <v>0</v>
      </c>
      <c r="AK293">
        <v>0</v>
      </c>
      <c r="AL293">
        <v>0</v>
      </c>
      <c r="AM293">
        <v>0</v>
      </c>
      <c r="AN293">
        <v>0</v>
      </c>
      <c r="AO293">
        <v>0</v>
      </c>
      <c r="AP293" s="2">
        <v>42831</v>
      </c>
      <c r="AQ293" t="s">
        <v>72</v>
      </c>
      <c r="AR293" t="s">
        <v>72</v>
      </c>
      <c r="AS293">
        <v>481</v>
      </c>
      <c r="AT293" s="4">
        <v>42782</v>
      </c>
      <c r="AU293" t="s">
        <v>73</v>
      </c>
      <c r="AV293">
        <v>481</v>
      </c>
      <c r="AW293" s="4">
        <v>42782</v>
      </c>
      <c r="BD293">
        <v>0</v>
      </c>
      <c r="BN293" t="s">
        <v>74</v>
      </c>
    </row>
    <row r="294" spans="1:66">
      <c r="A294">
        <v>100261</v>
      </c>
      <c r="B294" t="s">
        <v>123</v>
      </c>
      <c r="C294" s="1">
        <v>43300101</v>
      </c>
      <c r="D294" t="s">
        <v>67</v>
      </c>
      <c r="H294" t="str">
        <f>"05506871002"</f>
        <v>05506871002</v>
      </c>
      <c r="I294" t="str">
        <f>"05506871002"</f>
        <v>05506871002</v>
      </c>
      <c r="K294" t="str">
        <f>""</f>
        <v/>
      </c>
      <c r="M294" t="s">
        <v>68</v>
      </c>
      <c r="N294" t="str">
        <f t="shared" si="35"/>
        <v>FOR</v>
      </c>
      <c r="O294" t="s">
        <v>69</v>
      </c>
      <c r="P294" t="s">
        <v>75</v>
      </c>
      <c r="Q294">
        <v>2016</v>
      </c>
      <c r="R294" s="4">
        <v>42486</v>
      </c>
      <c r="S294" s="2">
        <v>42487</v>
      </c>
      <c r="T294" s="2">
        <v>42486</v>
      </c>
      <c r="U294" s="4">
        <v>42546</v>
      </c>
      <c r="V294" t="s">
        <v>71</v>
      </c>
      <c r="W294" t="str">
        <f>"            60001850"</f>
        <v xml:space="preserve">            60001850</v>
      </c>
      <c r="X294" s="1">
        <v>32134.799999999999</v>
      </c>
      <c r="Y294">
        <v>0</v>
      </c>
      <c r="Z294" s="5">
        <v>26340</v>
      </c>
      <c r="AA294" s="3">
        <v>236</v>
      </c>
      <c r="AB294" s="5">
        <v>6216240</v>
      </c>
      <c r="AC294" s="1">
        <v>26340</v>
      </c>
      <c r="AD294">
        <v>236</v>
      </c>
      <c r="AE294" s="1">
        <v>6216240</v>
      </c>
      <c r="AF294">
        <v>0</v>
      </c>
      <c r="AJ294">
        <v>0</v>
      </c>
      <c r="AK294">
        <v>0</v>
      </c>
      <c r="AL294">
        <v>0</v>
      </c>
      <c r="AM294">
        <v>0</v>
      </c>
      <c r="AN294">
        <v>0</v>
      </c>
      <c r="AO294">
        <v>0</v>
      </c>
      <c r="AP294" s="2">
        <v>42831</v>
      </c>
      <c r="AQ294" t="s">
        <v>72</v>
      </c>
      <c r="AR294" t="s">
        <v>72</v>
      </c>
      <c r="AS294">
        <v>481</v>
      </c>
      <c r="AT294" s="4">
        <v>42782</v>
      </c>
      <c r="AU294" t="s">
        <v>73</v>
      </c>
      <c r="AV294">
        <v>481</v>
      </c>
      <c r="AW294" s="4">
        <v>42782</v>
      </c>
      <c r="BD294">
        <v>0</v>
      </c>
      <c r="BN294" t="s">
        <v>74</v>
      </c>
    </row>
    <row r="295" spans="1:66">
      <c r="A295">
        <v>100270</v>
      </c>
      <c r="B295" t="s">
        <v>124</v>
      </c>
      <c r="C295" s="1">
        <v>43300101</v>
      </c>
      <c r="D295" t="s">
        <v>67</v>
      </c>
      <c r="H295" t="str">
        <f t="shared" ref="H295:H320" si="36">"03748120155"</f>
        <v>03748120155</v>
      </c>
      <c r="I295" t="str">
        <f t="shared" ref="I295:I320" si="37">"01364640233"</f>
        <v>01364640233</v>
      </c>
      <c r="K295" t="str">
        <f>""</f>
        <v/>
      </c>
      <c r="M295" t="s">
        <v>68</v>
      </c>
      <c r="N295" t="str">
        <f t="shared" si="35"/>
        <v>FOR</v>
      </c>
      <c r="O295" t="s">
        <v>69</v>
      </c>
      <c r="P295" t="s">
        <v>75</v>
      </c>
      <c r="Q295">
        <v>2016</v>
      </c>
      <c r="R295" s="4">
        <v>42431</v>
      </c>
      <c r="S295" s="2">
        <v>42446</v>
      </c>
      <c r="T295" s="2">
        <v>42443</v>
      </c>
      <c r="U295" s="4">
        <v>42503</v>
      </c>
      <c r="V295" t="s">
        <v>71</v>
      </c>
      <c r="W295" t="str">
        <f>"            31602273"</f>
        <v xml:space="preserve">            31602273</v>
      </c>
      <c r="X295" s="1">
        <v>2253.66</v>
      </c>
      <c r="Y295">
        <v>0</v>
      </c>
      <c r="Z295" s="5">
        <v>2166.98</v>
      </c>
      <c r="AA295" s="3">
        <v>271</v>
      </c>
      <c r="AB295" s="5">
        <v>587251.57999999996</v>
      </c>
      <c r="AC295" s="1">
        <v>2166.98</v>
      </c>
      <c r="AD295">
        <v>271</v>
      </c>
      <c r="AE295" s="1">
        <v>587251.57999999996</v>
      </c>
      <c r="AF295">
        <v>0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 s="2">
        <v>42831</v>
      </c>
      <c r="AQ295" t="s">
        <v>72</v>
      </c>
      <c r="AR295" t="s">
        <v>72</v>
      </c>
      <c r="AS295">
        <v>350</v>
      </c>
      <c r="AT295" s="4">
        <v>42774</v>
      </c>
      <c r="AU295" t="s">
        <v>73</v>
      </c>
      <c r="AV295">
        <v>350</v>
      </c>
      <c r="AW295" s="4">
        <v>42774</v>
      </c>
      <c r="BD295">
        <v>0</v>
      </c>
      <c r="BN295" t="s">
        <v>74</v>
      </c>
    </row>
    <row r="296" spans="1:66">
      <c r="A296">
        <v>100270</v>
      </c>
      <c r="B296" t="s">
        <v>124</v>
      </c>
      <c r="C296" s="1">
        <v>43300101</v>
      </c>
      <c r="D296" t="s">
        <v>67</v>
      </c>
      <c r="H296" t="str">
        <f t="shared" si="36"/>
        <v>03748120155</v>
      </c>
      <c r="I296" t="str">
        <f t="shared" si="37"/>
        <v>01364640233</v>
      </c>
      <c r="K296" t="str">
        <f>""</f>
        <v/>
      </c>
      <c r="M296" t="s">
        <v>68</v>
      </c>
      <c r="N296" t="str">
        <f t="shared" si="35"/>
        <v>FOR</v>
      </c>
      <c r="O296" t="s">
        <v>69</v>
      </c>
      <c r="P296" t="s">
        <v>75</v>
      </c>
      <c r="Q296">
        <v>2016</v>
      </c>
      <c r="R296" s="4">
        <v>42431</v>
      </c>
      <c r="S296" s="2">
        <v>42446</v>
      </c>
      <c r="T296" s="2">
        <v>42443</v>
      </c>
      <c r="U296" s="4">
        <v>42503</v>
      </c>
      <c r="V296" t="s">
        <v>71</v>
      </c>
      <c r="W296" t="str">
        <f>"            31602274"</f>
        <v xml:space="preserve">            31602274</v>
      </c>
      <c r="X296">
        <v>297.60000000000002</v>
      </c>
      <c r="Y296">
        <v>0</v>
      </c>
      <c r="Z296" s="5">
        <v>286.14999999999998</v>
      </c>
      <c r="AA296" s="3">
        <v>271</v>
      </c>
      <c r="AB296" s="5">
        <v>77546.649999999994</v>
      </c>
      <c r="AC296">
        <v>286.14999999999998</v>
      </c>
      <c r="AD296">
        <v>271</v>
      </c>
      <c r="AE296" s="1">
        <v>77546.649999999994</v>
      </c>
      <c r="AF296">
        <v>0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 s="2">
        <v>42831</v>
      </c>
      <c r="AQ296" t="s">
        <v>72</v>
      </c>
      <c r="AR296" t="s">
        <v>72</v>
      </c>
      <c r="AS296">
        <v>350</v>
      </c>
      <c r="AT296" s="4">
        <v>42774</v>
      </c>
      <c r="AU296" t="s">
        <v>73</v>
      </c>
      <c r="AV296">
        <v>350</v>
      </c>
      <c r="AW296" s="4">
        <v>42774</v>
      </c>
      <c r="BD296">
        <v>0</v>
      </c>
      <c r="BN296" t="s">
        <v>74</v>
      </c>
    </row>
    <row r="297" spans="1:66">
      <c r="A297">
        <v>100270</v>
      </c>
      <c r="B297" t="s">
        <v>124</v>
      </c>
      <c r="C297" s="1">
        <v>43300101</v>
      </c>
      <c r="D297" t="s">
        <v>67</v>
      </c>
      <c r="H297" t="str">
        <f t="shared" si="36"/>
        <v>03748120155</v>
      </c>
      <c r="I297" t="str">
        <f t="shared" si="37"/>
        <v>01364640233</v>
      </c>
      <c r="K297" t="str">
        <f>""</f>
        <v/>
      </c>
      <c r="M297" t="s">
        <v>68</v>
      </c>
      <c r="N297" t="str">
        <f t="shared" si="35"/>
        <v>FOR</v>
      </c>
      <c r="O297" t="s">
        <v>69</v>
      </c>
      <c r="P297" t="s">
        <v>75</v>
      </c>
      <c r="Q297">
        <v>2016</v>
      </c>
      <c r="R297" s="4">
        <v>42431</v>
      </c>
      <c r="S297" s="2">
        <v>42446</v>
      </c>
      <c r="T297" s="2">
        <v>42443</v>
      </c>
      <c r="U297" s="4">
        <v>42503</v>
      </c>
      <c r="V297" t="s">
        <v>71</v>
      </c>
      <c r="W297" t="str">
        <f>"            31602275"</f>
        <v xml:space="preserve">            31602275</v>
      </c>
      <c r="X297">
        <v>297.60000000000002</v>
      </c>
      <c r="Y297">
        <v>0</v>
      </c>
      <c r="Z297" s="5">
        <v>286.14999999999998</v>
      </c>
      <c r="AA297" s="3">
        <v>271</v>
      </c>
      <c r="AB297" s="5">
        <v>77546.649999999994</v>
      </c>
      <c r="AC297">
        <v>286.14999999999998</v>
      </c>
      <c r="AD297">
        <v>271</v>
      </c>
      <c r="AE297" s="1">
        <v>77546.649999999994</v>
      </c>
      <c r="AF297">
        <v>0</v>
      </c>
      <c r="AJ297">
        <v>0</v>
      </c>
      <c r="AK297">
        <v>0</v>
      </c>
      <c r="AL297">
        <v>0</v>
      </c>
      <c r="AM297">
        <v>0</v>
      </c>
      <c r="AN297">
        <v>0</v>
      </c>
      <c r="AO297">
        <v>0</v>
      </c>
      <c r="AP297" s="2">
        <v>42831</v>
      </c>
      <c r="AQ297" t="s">
        <v>72</v>
      </c>
      <c r="AR297" t="s">
        <v>72</v>
      </c>
      <c r="AS297">
        <v>350</v>
      </c>
      <c r="AT297" s="4">
        <v>42774</v>
      </c>
      <c r="AU297" t="s">
        <v>73</v>
      </c>
      <c r="AV297">
        <v>350</v>
      </c>
      <c r="AW297" s="4">
        <v>42774</v>
      </c>
      <c r="BD297">
        <v>0</v>
      </c>
      <c r="BN297" t="s">
        <v>74</v>
      </c>
    </row>
    <row r="298" spans="1:66">
      <c r="A298">
        <v>100270</v>
      </c>
      <c r="B298" t="s">
        <v>124</v>
      </c>
      <c r="C298" s="1">
        <v>43300101</v>
      </c>
      <c r="D298" t="s">
        <v>67</v>
      </c>
      <c r="H298" t="str">
        <f t="shared" si="36"/>
        <v>03748120155</v>
      </c>
      <c r="I298" t="str">
        <f t="shared" si="37"/>
        <v>01364640233</v>
      </c>
      <c r="K298" t="str">
        <f>""</f>
        <v/>
      </c>
      <c r="M298" t="s">
        <v>68</v>
      </c>
      <c r="N298" t="str">
        <f t="shared" si="35"/>
        <v>FOR</v>
      </c>
      <c r="O298" t="s">
        <v>69</v>
      </c>
      <c r="P298" t="s">
        <v>75</v>
      </c>
      <c r="Q298">
        <v>2016</v>
      </c>
      <c r="R298" s="4">
        <v>42431</v>
      </c>
      <c r="S298" s="2">
        <v>42446</v>
      </c>
      <c r="T298" s="2">
        <v>42443</v>
      </c>
      <c r="U298" s="4">
        <v>42503</v>
      </c>
      <c r="V298" t="s">
        <v>71</v>
      </c>
      <c r="W298" t="str">
        <f>"            31602276"</f>
        <v xml:space="preserve">            31602276</v>
      </c>
      <c r="X298">
        <v>294.57</v>
      </c>
      <c r="Y298">
        <v>0</v>
      </c>
      <c r="Z298" s="5">
        <v>283.24</v>
      </c>
      <c r="AA298" s="3">
        <v>271</v>
      </c>
      <c r="AB298" s="5">
        <v>76758.039999999994</v>
      </c>
      <c r="AC298">
        <v>283.24</v>
      </c>
      <c r="AD298">
        <v>271</v>
      </c>
      <c r="AE298" s="1">
        <v>76758.039999999994</v>
      </c>
      <c r="AF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0</v>
      </c>
      <c r="AP298" s="2">
        <v>42831</v>
      </c>
      <c r="AQ298" t="s">
        <v>72</v>
      </c>
      <c r="AR298" t="s">
        <v>72</v>
      </c>
      <c r="AS298">
        <v>350</v>
      </c>
      <c r="AT298" s="4">
        <v>42774</v>
      </c>
      <c r="AU298" t="s">
        <v>73</v>
      </c>
      <c r="AV298">
        <v>350</v>
      </c>
      <c r="AW298" s="4">
        <v>42774</v>
      </c>
      <c r="BD298">
        <v>0</v>
      </c>
      <c r="BN298" t="s">
        <v>74</v>
      </c>
    </row>
    <row r="299" spans="1:66">
      <c r="A299">
        <v>100270</v>
      </c>
      <c r="B299" t="s">
        <v>124</v>
      </c>
      <c r="C299" s="1">
        <v>43300101</v>
      </c>
      <c r="D299" t="s">
        <v>67</v>
      </c>
      <c r="H299" t="str">
        <f t="shared" si="36"/>
        <v>03748120155</v>
      </c>
      <c r="I299" t="str">
        <f t="shared" si="37"/>
        <v>01364640233</v>
      </c>
      <c r="K299" t="str">
        <f>""</f>
        <v/>
      </c>
      <c r="M299" t="s">
        <v>68</v>
      </c>
      <c r="N299" t="str">
        <f t="shared" si="35"/>
        <v>FOR</v>
      </c>
      <c r="O299" t="s">
        <v>69</v>
      </c>
      <c r="P299" t="s">
        <v>75</v>
      </c>
      <c r="Q299">
        <v>2016</v>
      </c>
      <c r="R299" s="4">
        <v>42431</v>
      </c>
      <c r="S299" s="2">
        <v>42446</v>
      </c>
      <c r="T299" s="2">
        <v>42443</v>
      </c>
      <c r="U299" s="4">
        <v>42503</v>
      </c>
      <c r="V299" t="s">
        <v>71</v>
      </c>
      <c r="W299" t="str">
        <f>"            31602277"</f>
        <v xml:space="preserve">            31602277</v>
      </c>
      <c r="X299" s="1">
        <v>1825.93</v>
      </c>
      <c r="Y299">
        <v>0</v>
      </c>
      <c r="Z299" s="5">
        <v>1755.7</v>
      </c>
      <c r="AA299" s="3">
        <v>271</v>
      </c>
      <c r="AB299" s="5">
        <v>475794.7</v>
      </c>
      <c r="AC299" s="1">
        <v>1755.7</v>
      </c>
      <c r="AD299">
        <v>271</v>
      </c>
      <c r="AE299" s="1">
        <v>475794.7</v>
      </c>
      <c r="AF299">
        <v>0</v>
      </c>
      <c r="AJ299">
        <v>0</v>
      </c>
      <c r="AK299">
        <v>0</v>
      </c>
      <c r="AL299">
        <v>0</v>
      </c>
      <c r="AM299">
        <v>0</v>
      </c>
      <c r="AN299">
        <v>0</v>
      </c>
      <c r="AO299">
        <v>0</v>
      </c>
      <c r="AP299" s="2">
        <v>42831</v>
      </c>
      <c r="AQ299" t="s">
        <v>72</v>
      </c>
      <c r="AR299" t="s">
        <v>72</v>
      </c>
      <c r="AS299">
        <v>350</v>
      </c>
      <c r="AT299" s="4">
        <v>42774</v>
      </c>
      <c r="AU299" t="s">
        <v>73</v>
      </c>
      <c r="AV299">
        <v>350</v>
      </c>
      <c r="AW299" s="4">
        <v>42774</v>
      </c>
      <c r="BD299">
        <v>0</v>
      </c>
      <c r="BN299" t="s">
        <v>74</v>
      </c>
    </row>
    <row r="300" spans="1:66">
      <c r="A300">
        <v>100270</v>
      </c>
      <c r="B300" t="s">
        <v>124</v>
      </c>
      <c r="C300" s="1">
        <v>43300101</v>
      </c>
      <c r="D300" t="s">
        <v>67</v>
      </c>
      <c r="H300" t="str">
        <f t="shared" si="36"/>
        <v>03748120155</v>
      </c>
      <c r="I300" t="str">
        <f t="shared" si="37"/>
        <v>01364640233</v>
      </c>
      <c r="K300" t="str">
        <f>""</f>
        <v/>
      </c>
      <c r="M300" t="s">
        <v>68</v>
      </c>
      <c r="N300" t="str">
        <f t="shared" si="35"/>
        <v>FOR</v>
      </c>
      <c r="O300" t="s">
        <v>69</v>
      </c>
      <c r="P300" t="s">
        <v>75</v>
      </c>
      <c r="Q300">
        <v>2016</v>
      </c>
      <c r="R300" s="4">
        <v>42431</v>
      </c>
      <c r="S300" s="2">
        <v>42446</v>
      </c>
      <c r="T300" s="2">
        <v>42443</v>
      </c>
      <c r="U300" s="4">
        <v>42503</v>
      </c>
      <c r="V300" t="s">
        <v>71</v>
      </c>
      <c r="W300" t="str">
        <f>"            31602278"</f>
        <v xml:space="preserve">            31602278</v>
      </c>
      <c r="X300">
        <v>297.60000000000002</v>
      </c>
      <c r="Y300">
        <v>0</v>
      </c>
      <c r="Z300" s="5">
        <v>286.14999999999998</v>
      </c>
      <c r="AA300" s="3">
        <v>271</v>
      </c>
      <c r="AB300" s="5">
        <v>77546.649999999994</v>
      </c>
      <c r="AC300">
        <v>286.14999999999998</v>
      </c>
      <c r="AD300">
        <v>271</v>
      </c>
      <c r="AE300" s="1">
        <v>77546.649999999994</v>
      </c>
      <c r="AF300">
        <v>0</v>
      </c>
      <c r="AJ300">
        <v>0</v>
      </c>
      <c r="AK300">
        <v>0</v>
      </c>
      <c r="AL300">
        <v>0</v>
      </c>
      <c r="AM300">
        <v>0</v>
      </c>
      <c r="AN300">
        <v>0</v>
      </c>
      <c r="AO300">
        <v>0</v>
      </c>
      <c r="AP300" s="2">
        <v>42831</v>
      </c>
      <c r="AQ300" t="s">
        <v>72</v>
      </c>
      <c r="AR300" t="s">
        <v>72</v>
      </c>
      <c r="AS300">
        <v>350</v>
      </c>
      <c r="AT300" s="4">
        <v>42774</v>
      </c>
      <c r="AU300" t="s">
        <v>73</v>
      </c>
      <c r="AV300">
        <v>350</v>
      </c>
      <c r="AW300" s="4">
        <v>42774</v>
      </c>
      <c r="BD300">
        <v>0</v>
      </c>
      <c r="BN300" t="s">
        <v>74</v>
      </c>
    </row>
    <row r="301" spans="1:66">
      <c r="A301">
        <v>100270</v>
      </c>
      <c r="B301" t="s">
        <v>124</v>
      </c>
      <c r="C301" s="1">
        <v>43300101</v>
      </c>
      <c r="D301" t="s">
        <v>67</v>
      </c>
      <c r="H301" t="str">
        <f t="shared" si="36"/>
        <v>03748120155</v>
      </c>
      <c r="I301" t="str">
        <f t="shared" si="37"/>
        <v>01364640233</v>
      </c>
      <c r="K301" t="str">
        <f>""</f>
        <v/>
      </c>
      <c r="M301" t="s">
        <v>68</v>
      </c>
      <c r="N301" t="str">
        <f t="shared" si="35"/>
        <v>FOR</v>
      </c>
      <c r="O301" t="s">
        <v>69</v>
      </c>
      <c r="P301" t="s">
        <v>75</v>
      </c>
      <c r="Q301">
        <v>2016</v>
      </c>
      <c r="R301" s="4">
        <v>42431</v>
      </c>
      <c r="S301" s="2">
        <v>42446</v>
      </c>
      <c r="T301" s="2">
        <v>42443</v>
      </c>
      <c r="U301" s="4">
        <v>42503</v>
      </c>
      <c r="V301" t="s">
        <v>71</v>
      </c>
      <c r="W301" t="str">
        <f>"            31602279"</f>
        <v xml:space="preserve">            31602279</v>
      </c>
      <c r="X301">
        <v>297.60000000000002</v>
      </c>
      <c r="Y301">
        <v>0</v>
      </c>
      <c r="Z301" s="5">
        <v>286.14999999999998</v>
      </c>
      <c r="AA301" s="3">
        <v>271</v>
      </c>
      <c r="AB301" s="5">
        <v>77546.649999999994</v>
      </c>
      <c r="AC301">
        <v>286.14999999999998</v>
      </c>
      <c r="AD301">
        <v>271</v>
      </c>
      <c r="AE301" s="1">
        <v>77546.649999999994</v>
      </c>
      <c r="AF301">
        <v>0</v>
      </c>
      <c r="AJ301">
        <v>0</v>
      </c>
      <c r="AK301">
        <v>0</v>
      </c>
      <c r="AL301">
        <v>0</v>
      </c>
      <c r="AM301">
        <v>0</v>
      </c>
      <c r="AN301">
        <v>0</v>
      </c>
      <c r="AO301">
        <v>0</v>
      </c>
      <c r="AP301" s="2">
        <v>42831</v>
      </c>
      <c r="AQ301" t="s">
        <v>72</v>
      </c>
      <c r="AR301" t="s">
        <v>72</v>
      </c>
      <c r="AS301">
        <v>350</v>
      </c>
      <c r="AT301" s="4">
        <v>42774</v>
      </c>
      <c r="AU301" t="s">
        <v>73</v>
      </c>
      <c r="AV301">
        <v>350</v>
      </c>
      <c r="AW301" s="4">
        <v>42774</v>
      </c>
      <c r="BD301">
        <v>0</v>
      </c>
      <c r="BN301" t="s">
        <v>74</v>
      </c>
    </row>
    <row r="302" spans="1:66">
      <c r="A302">
        <v>100270</v>
      </c>
      <c r="B302" t="s">
        <v>124</v>
      </c>
      <c r="C302" s="1">
        <v>43300101</v>
      </c>
      <c r="D302" t="s">
        <v>67</v>
      </c>
      <c r="H302" t="str">
        <f t="shared" si="36"/>
        <v>03748120155</v>
      </c>
      <c r="I302" t="str">
        <f t="shared" si="37"/>
        <v>01364640233</v>
      </c>
      <c r="K302" t="str">
        <f>""</f>
        <v/>
      </c>
      <c r="M302" t="s">
        <v>68</v>
      </c>
      <c r="N302" t="str">
        <f t="shared" si="35"/>
        <v>FOR</v>
      </c>
      <c r="O302" t="s">
        <v>69</v>
      </c>
      <c r="P302" t="s">
        <v>75</v>
      </c>
      <c r="Q302">
        <v>2016</v>
      </c>
      <c r="R302" s="4">
        <v>42431</v>
      </c>
      <c r="S302" s="2">
        <v>42446</v>
      </c>
      <c r="T302" s="2">
        <v>42443</v>
      </c>
      <c r="U302" s="4">
        <v>42503</v>
      </c>
      <c r="V302" t="s">
        <v>71</v>
      </c>
      <c r="W302" t="str">
        <f>"            31602280"</f>
        <v xml:space="preserve">            31602280</v>
      </c>
      <c r="X302">
        <v>297.60000000000002</v>
      </c>
      <c r="Y302">
        <v>0</v>
      </c>
      <c r="Z302" s="5">
        <v>286.14999999999998</v>
      </c>
      <c r="AA302" s="3">
        <v>271</v>
      </c>
      <c r="AB302" s="5">
        <v>77546.649999999994</v>
      </c>
      <c r="AC302">
        <v>286.14999999999998</v>
      </c>
      <c r="AD302">
        <v>271</v>
      </c>
      <c r="AE302" s="1">
        <v>77546.649999999994</v>
      </c>
      <c r="AF302">
        <v>0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 s="2">
        <v>42831</v>
      </c>
      <c r="AQ302" t="s">
        <v>72</v>
      </c>
      <c r="AR302" t="s">
        <v>72</v>
      </c>
      <c r="AS302">
        <v>350</v>
      </c>
      <c r="AT302" s="4">
        <v>42774</v>
      </c>
      <c r="AU302" t="s">
        <v>73</v>
      </c>
      <c r="AV302">
        <v>350</v>
      </c>
      <c r="AW302" s="4">
        <v>42774</v>
      </c>
      <c r="BD302">
        <v>0</v>
      </c>
      <c r="BN302" t="s">
        <v>74</v>
      </c>
    </row>
    <row r="303" spans="1:66">
      <c r="A303">
        <v>100270</v>
      </c>
      <c r="B303" t="s">
        <v>124</v>
      </c>
      <c r="C303" s="1">
        <v>43300101</v>
      </c>
      <c r="D303" t="s">
        <v>67</v>
      </c>
      <c r="H303" t="str">
        <f t="shared" si="36"/>
        <v>03748120155</v>
      </c>
      <c r="I303" t="str">
        <f t="shared" si="37"/>
        <v>01364640233</v>
      </c>
      <c r="K303" t="str">
        <f>""</f>
        <v/>
      </c>
      <c r="M303" t="s">
        <v>68</v>
      </c>
      <c r="N303" t="str">
        <f t="shared" si="35"/>
        <v>FOR</v>
      </c>
      <c r="O303" t="s">
        <v>69</v>
      </c>
      <c r="P303" t="s">
        <v>75</v>
      </c>
      <c r="Q303">
        <v>2016</v>
      </c>
      <c r="R303" s="4">
        <v>42446</v>
      </c>
      <c r="S303" s="2">
        <v>42457</v>
      </c>
      <c r="T303" s="2">
        <v>42453</v>
      </c>
      <c r="U303" s="4">
        <v>42513</v>
      </c>
      <c r="V303" t="s">
        <v>71</v>
      </c>
      <c r="W303" t="str">
        <f>"            31602965"</f>
        <v xml:space="preserve">            31602965</v>
      </c>
      <c r="X303" s="1">
        <v>9770.2800000000007</v>
      </c>
      <c r="Y303">
        <v>0</v>
      </c>
      <c r="Z303" s="5">
        <v>9394.5</v>
      </c>
      <c r="AA303" s="3">
        <v>261</v>
      </c>
      <c r="AB303" s="5">
        <v>2451964.5</v>
      </c>
      <c r="AC303" s="1">
        <v>9394.5</v>
      </c>
      <c r="AD303">
        <v>261</v>
      </c>
      <c r="AE303" s="1">
        <v>2451964.5</v>
      </c>
      <c r="AF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 s="2">
        <v>42831</v>
      </c>
      <c r="AQ303" t="s">
        <v>72</v>
      </c>
      <c r="AR303" t="s">
        <v>72</v>
      </c>
      <c r="AS303">
        <v>350</v>
      </c>
      <c r="AT303" s="4">
        <v>42774</v>
      </c>
      <c r="AU303" t="s">
        <v>73</v>
      </c>
      <c r="AV303">
        <v>350</v>
      </c>
      <c r="AW303" s="4">
        <v>42774</v>
      </c>
      <c r="BD303">
        <v>0</v>
      </c>
      <c r="BN303" t="s">
        <v>74</v>
      </c>
    </row>
    <row r="304" spans="1:66">
      <c r="A304">
        <v>100270</v>
      </c>
      <c r="B304" t="s">
        <v>124</v>
      </c>
      <c r="C304" s="1">
        <v>43300101</v>
      </c>
      <c r="D304" t="s">
        <v>67</v>
      </c>
      <c r="H304" t="str">
        <f t="shared" si="36"/>
        <v>03748120155</v>
      </c>
      <c r="I304" t="str">
        <f t="shared" si="37"/>
        <v>01364640233</v>
      </c>
      <c r="K304" t="str">
        <f>""</f>
        <v/>
      </c>
      <c r="M304" t="s">
        <v>68</v>
      </c>
      <c r="N304" t="str">
        <f t="shared" si="35"/>
        <v>FOR</v>
      </c>
      <c r="O304" t="s">
        <v>69</v>
      </c>
      <c r="P304" t="s">
        <v>75</v>
      </c>
      <c r="Q304">
        <v>2016</v>
      </c>
      <c r="R304" s="4">
        <v>42458</v>
      </c>
      <c r="S304" s="2">
        <v>42473</v>
      </c>
      <c r="T304" s="2">
        <v>42467</v>
      </c>
      <c r="U304" s="4">
        <v>42527</v>
      </c>
      <c r="V304" t="s">
        <v>71</v>
      </c>
      <c r="W304" t="str">
        <f>"            31603317"</f>
        <v xml:space="preserve">            31603317</v>
      </c>
      <c r="X304" s="1">
        <v>2253.66</v>
      </c>
      <c r="Y304">
        <v>0</v>
      </c>
      <c r="Z304" s="5">
        <v>2166.98</v>
      </c>
      <c r="AA304" s="3">
        <v>247</v>
      </c>
      <c r="AB304" s="5">
        <v>535244.06000000006</v>
      </c>
      <c r="AC304" s="1">
        <v>2166.98</v>
      </c>
      <c r="AD304">
        <v>247</v>
      </c>
      <c r="AE304" s="1">
        <v>535244.06000000006</v>
      </c>
      <c r="AF304">
        <v>0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 s="2">
        <v>42831</v>
      </c>
      <c r="AQ304" t="s">
        <v>72</v>
      </c>
      <c r="AR304" t="s">
        <v>72</v>
      </c>
      <c r="AS304">
        <v>350</v>
      </c>
      <c r="AT304" s="4">
        <v>42774</v>
      </c>
      <c r="AU304" t="s">
        <v>73</v>
      </c>
      <c r="AV304">
        <v>350</v>
      </c>
      <c r="AW304" s="4">
        <v>42774</v>
      </c>
      <c r="BD304">
        <v>0</v>
      </c>
      <c r="BN304" t="s">
        <v>74</v>
      </c>
    </row>
    <row r="305" spans="1:66">
      <c r="A305">
        <v>100270</v>
      </c>
      <c r="B305" t="s">
        <v>124</v>
      </c>
      <c r="C305" s="1">
        <v>43300101</v>
      </c>
      <c r="D305" t="s">
        <v>67</v>
      </c>
      <c r="H305" t="str">
        <f t="shared" si="36"/>
        <v>03748120155</v>
      </c>
      <c r="I305" t="str">
        <f t="shared" si="37"/>
        <v>01364640233</v>
      </c>
      <c r="K305" t="str">
        <f>""</f>
        <v/>
      </c>
      <c r="M305" t="s">
        <v>68</v>
      </c>
      <c r="N305" t="str">
        <f t="shared" si="35"/>
        <v>FOR</v>
      </c>
      <c r="O305" t="s">
        <v>69</v>
      </c>
      <c r="P305" t="s">
        <v>75</v>
      </c>
      <c r="Q305">
        <v>2016</v>
      </c>
      <c r="R305" s="4">
        <v>42458</v>
      </c>
      <c r="S305" s="2">
        <v>42473</v>
      </c>
      <c r="T305" s="2">
        <v>42467</v>
      </c>
      <c r="U305" s="4">
        <v>42527</v>
      </c>
      <c r="V305" t="s">
        <v>71</v>
      </c>
      <c r="W305" t="str">
        <f>"            31603318"</f>
        <v xml:space="preserve">            31603318</v>
      </c>
      <c r="X305">
        <v>297.60000000000002</v>
      </c>
      <c r="Y305">
        <v>0</v>
      </c>
      <c r="Z305" s="5">
        <v>286.14999999999998</v>
      </c>
      <c r="AA305" s="3">
        <v>247</v>
      </c>
      <c r="AB305" s="5">
        <v>70679.05</v>
      </c>
      <c r="AC305">
        <v>286.14999999999998</v>
      </c>
      <c r="AD305">
        <v>247</v>
      </c>
      <c r="AE305" s="1">
        <v>70679.05</v>
      </c>
      <c r="AF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 s="2">
        <v>42831</v>
      </c>
      <c r="AQ305" t="s">
        <v>72</v>
      </c>
      <c r="AR305" t="s">
        <v>72</v>
      </c>
      <c r="AS305">
        <v>350</v>
      </c>
      <c r="AT305" s="4">
        <v>42774</v>
      </c>
      <c r="AU305" t="s">
        <v>73</v>
      </c>
      <c r="AV305">
        <v>350</v>
      </c>
      <c r="AW305" s="4">
        <v>42774</v>
      </c>
      <c r="BD305">
        <v>0</v>
      </c>
      <c r="BN305" t="s">
        <v>74</v>
      </c>
    </row>
    <row r="306" spans="1:66">
      <c r="A306">
        <v>100270</v>
      </c>
      <c r="B306" t="s">
        <v>124</v>
      </c>
      <c r="C306" s="1">
        <v>43300101</v>
      </c>
      <c r="D306" t="s">
        <v>67</v>
      </c>
      <c r="H306" t="str">
        <f t="shared" si="36"/>
        <v>03748120155</v>
      </c>
      <c r="I306" t="str">
        <f t="shared" si="37"/>
        <v>01364640233</v>
      </c>
      <c r="K306" t="str">
        <f>""</f>
        <v/>
      </c>
      <c r="M306" t="s">
        <v>68</v>
      </c>
      <c r="N306" t="str">
        <f t="shared" si="35"/>
        <v>FOR</v>
      </c>
      <c r="O306" t="s">
        <v>69</v>
      </c>
      <c r="P306" t="s">
        <v>75</v>
      </c>
      <c r="Q306">
        <v>2016</v>
      </c>
      <c r="R306" s="4">
        <v>42458</v>
      </c>
      <c r="S306" s="2">
        <v>42473</v>
      </c>
      <c r="T306" s="2">
        <v>42467</v>
      </c>
      <c r="U306" s="4">
        <v>42527</v>
      </c>
      <c r="V306" t="s">
        <v>71</v>
      </c>
      <c r="W306" t="str">
        <f>"            31603319"</f>
        <v xml:space="preserve">            31603319</v>
      </c>
      <c r="X306" s="1">
        <v>1825.93</v>
      </c>
      <c r="Y306">
        <v>0</v>
      </c>
      <c r="Z306" s="5">
        <v>1755.7</v>
      </c>
      <c r="AA306" s="3">
        <v>247</v>
      </c>
      <c r="AB306" s="5">
        <v>433657.9</v>
      </c>
      <c r="AC306" s="1">
        <v>1755.7</v>
      </c>
      <c r="AD306">
        <v>247</v>
      </c>
      <c r="AE306" s="1">
        <v>433657.9</v>
      </c>
      <c r="AF306">
        <v>0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 s="2">
        <v>42831</v>
      </c>
      <c r="AQ306" t="s">
        <v>72</v>
      </c>
      <c r="AR306" t="s">
        <v>72</v>
      </c>
      <c r="AS306">
        <v>350</v>
      </c>
      <c r="AT306" s="4">
        <v>42774</v>
      </c>
      <c r="AU306" t="s">
        <v>73</v>
      </c>
      <c r="AV306">
        <v>350</v>
      </c>
      <c r="AW306" s="4">
        <v>42774</v>
      </c>
      <c r="BD306">
        <v>0</v>
      </c>
      <c r="BN306" t="s">
        <v>74</v>
      </c>
    </row>
    <row r="307" spans="1:66">
      <c r="A307">
        <v>100270</v>
      </c>
      <c r="B307" t="s">
        <v>124</v>
      </c>
      <c r="C307" s="1">
        <v>43300101</v>
      </c>
      <c r="D307" t="s">
        <v>67</v>
      </c>
      <c r="H307" t="str">
        <f t="shared" si="36"/>
        <v>03748120155</v>
      </c>
      <c r="I307" t="str">
        <f t="shared" si="37"/>
        <v>01364640233</v>
      </c>
      <c r="K307" t="str">
        <f>""</f>
        <v/>
      </c>
      <c r="M307" t="s">
        <v>68</v>
      </c>
      <c r="N307" t="str">
        <f t="shared" si="35"/>
        <v>FOR</v>
      </c>
      <c r="O307" t="s">
        <v>69</v>
      </c>
      <c r="P307" t="s">
        <v>75</v>
      </c>
      <c r="Q307">
        <v>2016</v>
      </c>
      <c r="R307" s="4">
        <v>42458</v>
      </c>
      <c r="S307" s="2">
        <v>42473</v>
      </c>
      <c r="T307" s="2">
        <v>42467</v>
      </c>
      <c r="U307" s="4">
        <v>42527</v>
      </c>
      <c r="V307" t="s">
        <v>71</v>
      </c>
      <c r="W307" t="str">
        <f>"            31603320"</f>
        <v xml:space="preserve">            31603320</v>
      </c>
      <c r="X307">
        <v>294.57</v>
      </c>
      <c r="Y307">
        <v>0</v>
      </c>
      <c r="Z307" s="5">
        <v>283.24</v>
      </c>
      <c r="AA307" s="3">
        <v>247</v>
      </c>
      <c r="AB307" s="5">
        <v>69960.28</v>
      </c>
      <c r="AC307">
        <v>283.24</v>
      </c>
      <c r="AD307">
        <v>247</v>
      </c>
      <c r="AE307" s="1">
        <v>69960.28</v>
      </c>
      <c r="AF307">
        <v>0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 s="2">
        <v>42831</v>
      </c>
      <c r="AQ307" t="s">
        <v>72</v>
      </c>
      <c r="AR307" t="s">
        <v>72</v>
      </c>
      <c r="AS307">
        <v>350</v>
      </c>
      <c r="AT307" s="4">
        <v>42774</v>
      </c>
      <c r="AU307" t="s">
        <v>73</v>
      </c>
      <c r="AV307">
        <v>350</v>
      </c>
      <c r="AW307" s="4">
        <v>42774</v>
      </c>
      <c r="BD307">
        <v>0</v>
      </c>
      <c r="BN307" t="s">
        <v>74</v>
      </c>
    </row>
    <row r="308" spans="1:66">
      <c r="A308">
        <v>100270</v>
      </c>
      <c r="B308" t="s">
        <v>124</v>
      </c>
      <c r="C308" s="1">
        <v>43300101</v>
      </c>
      <c r="D308" t="s">
        <v>67</v>
      </c>
      <c r="H308" t="str">
        <f t="shared" si="36"/>
        <v>03748120155</v>
      </c>
      <c r="I308" t="str">
        <f t="shared" si="37"/>
        <v>01364640233</v>
      </c>
      <c r="K308" t="str">
        <f>""</f>
        <v/>
      </c>
      <c r="M308" t="s">
        <v>68</v>
      </c>
      <c r="N308" t="str">
        <f t="shared" si="35"/>
        <v>FOR</v>
      </c>
      <c r="O308" t="s">
        <v>69</v>
      </c>
      <c r="P308" t="s">
        <v>75</v>
      </c>
      <c r="Q308">
        <v>2016</v>
      </c>
      <c r="R308" s="4">
        <v>42467</v>
      </c>
      <c r="S308" s="2">
        <v>42472</v>
      </c>
      <c r="T308" s="2">
        <v>42472</v>
      </c>
      <c r="U308" s="4">
        <v>42532</v>
      </c>
      <c r="V308" t="s">
        <v>71</v>
      </c>
      <c r="W308" t="str">
        <f>"            31603770"</f>
        <v xml:space="preserve">            31603770</v>
      </c>
      <c r="X308">
        <v>297.60000000000002</v>
      </c>
      <c r="Y308">
        <v>0</v>
      </c>
      <c r="Z308" s="5">
        <v>286.14999999999998</v>
      </c>
      <c r="AA308" s="3">
        <v>250</v>
      </c>
      <c r="AB308" s="5">
        <v>71537.5</v>
      </c>
      <c r="AC308">
        <v>286.14999999999998</v>
      </c>
      <c r="AD308">
        <v>250</v>
      </c>
      <c r="AE308" s="1">
        <v>71537.5</v>
      </c>
      <c r="AF308">
        <v>0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 s="2">
        <v>42831</v>
      </c>
      <c r="AQ308" t="s">
        <v>72</v>
      </c>
      <c r="AR308" t="s">
        <v>72</v>
      </c>
      <c r="AS308">
        <v>472</v>
      </c>
      <c r="AT308" s="4">
        <v>42782</v>
      </c>
      <c r="AU308" t="s">
        <v>73</v>
      </c>
      <c r="AV308">
        <v>472</v>
      </c>
      <c r="AW308" s="4">
        <v>42782</v>
      </c>
      <c r="BD308">
        <v>0</v>
      </c>
      <c r="BN308" t="s">
        <v>74</v>
      </c>
    </row>
    <row r="309" spans="1:66">
      <c r="A309">
        <v>100270</v>
      </c>
      <c r="B309" t="s">
        <v>124</v>
      </c>
      <c r="C309" s="1">
        <v>43300101</v>
      </c>
      <c r="D309" t="s">
        <v>67</v>
      </c>
      <c r="H309" t="str">
        <f t="shared" si="36"/>
        <v>03748120155</v>
      </c>
      <c r="I309" t="str">
        <f t="shared" si="37"/>
        <v>01364640233</v>
      </c>
      <c r="K309" t="str">
        <f>""</f>
        <v/>
      </c>
      <c r="M309" t="s">
        <v>68</v>
      </c>
      <c r="N309" t="str">
        <f t="shared" si="35"/>
        <v>FOR</v>
      </c>
      <c r="O309" t="s">
        <v>69</v>
      </c>
      <c r="P309" t="s">
        <v>75</v>
      </c>
      <c r="Q309">
        <v>2016</v>
      </c>
      <c r="R309" s="4">
        <v>42467</v>
      </c>
      <c r="S309" s="2">
        <v>42472</v>
      </c>
      <c r="T309" s="2">
        <v>42472</v>
      </c>
      <c r="U309" s="4">
        <v>42532</v>
      </c>
      <c r="V309" t="s">
        <v>71</v>
      </c>
      <c r="W309" t="str">
        <f>"            31603771"</f>
        <v xml:space="preserve">            31603771</v>
      </c>
      <c r="X309">
        <v>297.60000000000002</v>
      </c>
      <c r="Y309">
        <v>0</v>
      </c>
      <c r="Z309" s="5">
        <v>286.14999999999998</v>
      </c>
      <c r="AA309" s="3">
        <v>250</v>
      </c>
      <c r="AB309" s="5">
        <v>71537.5</v>
      </c>
      <c r="AC309">
        <v>286.14999999999998</v>
      </c>
      <c r="AD309">
        <v>250</v>
      </c>
      <c r="AE309" s="1">
        <v>71537.5</v>
      </c>
      <c r="AF309">
        <v>0</v>
      </c>
      <c r="AJ309">
        <v>0</v>
      </c>
      <c r="AK309">
        <v>0</v>
      </c>
      <c r="AL309">
        <v>0</v>
      </c>
      <c r="AM309">
        <v>0</v>
      </c>
      <c r="AN309">
        <v>0</v>
      </c>
      <c r="AO309">
        <v>0</v>
      </c>
      <c r="AP309" s="2">
        <v>42831</v>
      </c>
      <c r="AQ309" t="s">
        <v>72</v>
      </c>
      <c r="AR309" t="s">
        <v>72</v>
      </c>
      <c r="AS309">
        <v>472</v>
      </c>
      <c r="AT309" s="4">
        <v>42782</v>
      </c>
      <c r="AU309" t="s">
        <v>73</v>
      </c>
      <c r="AV309">
        <v>472</v>
      </c>
      <c r="AW309" s="4">
        <v>42782</v>
      </c>
      <c r="BD309">
        <v>0</v>
      </c>
      <c r="BN309" t="s">
        <v>74</v>
      </c>
    </row>
    <row r="310" spans="1:66">
      <c r="A310">
        <v>100270</v>
      </c>
      <c r="B310" t="s">
        <v>124</v>
      </c>
      <c r="C310" s="1">
        <v>43300101</v>
      </c>
      <c r="D310" t="s">
        <v>67</v>
      </c>
      <c r="H310" t="str">
        <f t="shared" si="36"/>
        <v>03748120155</v>
      </c>
      <c r="I310" t="str">
        <f t="shared" si="37"/>
        <v>01364640233</v>
      </c>
      <c r="K310" t="str">
        <f>""</f>
        <v/>
      </c>
      <c r="M310" t="s">
        <v>68</v>
      </c>
      <c r="N310" t="str">
        <f t="shared" si="35"/>
        <v>FOR</v>
      </c>
      <c r="O310" t="s">
        <v>69</v>
      </c>
      <c r="P310" t="s">
        <v>75</v>
      </c>
      <c r="Q310">
        <v>2016</v>
      </c>
      <c r="R310" s="4">
        <v>42467</v>
      </c>
      <c r="S310" s="2">
        <v>42472</v>
      </c>
      <c r="T310" s="2">
        <v>42472</v>
      </c>
      <c r="U310" s="4">
        <v>42532</v>
      </c>
      <c r="V310" t="s">
        <v>71</v>
      </c>
      <c r="W310" t="str">
        <f>"            31603772"</f>
        <v xml:space="preserve">            31603772</v>
      </c>
      <c r="X310" s="1">
        <v>2253.66</v>
      </c>
      <c r="Y310">
        <v>0</v>
      </c>
      <c r="Z310" s="5">
        <v>2166.98</v>
      </c>
      <c r="AA310" s="3">
        <v>250</v>
      </c>
      <c r="AB310" s="5">
        <v>541745</v>
      </c>
      <c r="AC310" s="1">
        <v>2166.98</v>
      </c>
      <c r="AD310">
        <v>250</v>
      </c>
      <c r="AE310" s="1">
        <v>541745</v>
      </c>
      <c r="AF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 s="2">
        <v>42831</v>
      </c>
      <c r="AQ310" t="s">
        <v>72</v>
      </c>
      <c r="AR310" t="s">
        <v>72</v>
      </c>
      <c r="AS310">
        <v>472</v>
      </c>
      <c r="AT310" s="4">
        <v>42782</v>
      </c>
      <c r="AU310" t="s">
        <v>73</v>
      </c>
      <c r="AV310">
        <v>472</v>
      </c>
      <c r="AW310" s="4">
        <v>42782</v>
      </c>
      <c r="BD310">
        <v>0</v>
      </c>
      <c r="BN310" t="s">
        <v>74</v>
      </c>
    </row>
    <row r="311" spans="1:66">
      <c r="A311">
        <v>100270</v>
      </c>
      <c r="B311" t="s">
        <v>124</v>
      </c>
      <c r="C311" s="1">
        <v>43300101</v>
      </c>
      <c r="D311" t="s">
        <v>67</v>
      </c>
      <c r="H311" t="str">
        <f t="shared" si="36"/>
        <v>03748120155</v>
      </c>
      <c r="I311" t="str">
        <f t="shared" si="37"/>
        <v>01364640233</v>
      </c>
      <c r="K311" t="str">
        <f>""</f>
        <v/>
      </c>
      <c r="M311" t="s">
        <v>68</v>
      </c>
      <c r="N311" t="str">
        <f t="shared" si="35"/>
        <v>FOR</v>
      </c>
      <c r="O311" t="s">
        <v>69</v>
      </c>
      <c r="P311" t="s">
        <v>75</v>
      </c>
      <c r="Q311">
        <v>2016</v>
      </c>
      <c r="R311" s="4">
        <v>42467</v>
      </c>
      <c r="S311" s="2">
        <v>42472</v>
      </c>
      <c r="T311" s="2">
        <v>42472</v>
      </c>
      <c r="U311" s="4">
        <v>42532</v>
      </c>
      <c r="V311" t="s">
        <v>71</v>
      </c>
      <c r="W311" t="str">
        <f>"            31603773"</f>
        <v xml:space="preserve">            31603773</v>
      </c>
      <c r="X311">
        <v>297.60000000000002</v>
      </c>
      <c r="Y311">
        <v>0</v>
      </c>
      <c r="Z311" s="5">
        <v>286.14999999999998</v>
      </c>
      <c r="AA311" s="3">
        <v>250</v>
      </c>
      <c r="AB311" s="5">
        <v>71537.5</v>
      </c>
      <c r="AC311">
        <v>286.14999999999998</v>
      </c>
      <c r="AD311">
        <v>250</v>
      </c>
      <c r="AE311" s="1">
        <v>71537.5</v>
      </c>
      <c r="AF311">
        <v>0</v>
      </c>
      <c r="AJ311">
        <v>0</v>
      </c>
      <c r="AK311">
        <v>0</v>
      </c>
      <c r="AL311">
        <v>0</v>
      </c>
      <c r="AM311">
        <v>0</v>
      </c>
      <c r="AN311">
        <v>0</v>
      </c>
      <c r="AO311">
        <v>0</v>
      </c>
      <c r="AP311" s="2">
        <v>42831</v>
      </c>
      <c r="AQ311" t="s">
        <v>72</v>
      </c>
      <c r="AR311" t="s">
        <v>72</v>
      </c>
      <c r="AS311">
        <v>472</v>
      </c>
      <c r="AT311" s="4">
        <v>42782</v>
      </c>
      <c r="AU311" t="s">
        <v>73</v>
      </c>
      <c r="AV311">
        <v>472</v>
      </c>
      <c r="AW311" s="4">
        <v>42782</v>
      </c>
      <c r="BD311">
        <v>0</v>
      </c>
      <c r="BN311" t="s">
        <v>74</v>
      </c>
    </row>
    <row r="312" spans="1:66">
      <c r="A312">
        <v>100270</v>
      </c>
      <c r="B312" t="s">
        <v>124</v>
      </c>
      <c r="C312" s="1">
        <v>43300101</v>
      </c>
      <c r="D312" t="s">
        <v>67</v>
      </c>
      <c r="H312" t="str">
        <f t="shared" si="36"/>
        <v>03748120155</v>
      </c>
      <c r="I312" t="str">
        <f t="shared" si="37"/>
        <v>01364640233</v>
      </c>
      <c r="K312" t="str">
        <f>""</f>
        <v/>
      </c>
      <c r="M312" t="s">
        <v>68</v>
      </c>
      <c r="N312" t="str">
        <f t="shared" si="35"/>
        <v>FOR</v>
      </c>
      <c r="O312" t="s">
        <v>69</v>
      </c>
      <c r="P312" t="s">
        <v>75</v>
      </c>
      <c r="Q312">
        <v>2016</v>
      </c>
      <c r="R312" s="4">
        <v>42467</v>
      </c>
      <c r="S312" s="2">
        <v>42472</v>
      </c>
      <c r="T312" s="2">
        <v>42472</v>
      </c>
      <c r="U312" s="4">
        <v>42532</v>
      </c>
      <c r="V312" t="s">
        <v>71</v>
      </c>
      <c r="W312" t="str">
        <f>"            31603774"</f>
        <v xml:space="preserve">            31603774</v>
      </c>
      <c r="X312">
        <v>297.60000000000002</v>
      </c>
      <c r="Y312">
        <v>0</v>
      </c>
      <c r="Z312" s="5">
        <v>286.14999999999998</v>
      </c>
      <c r="AA312" s="3">
        <v>250</v>
      </c>
      <c r="AB312" s="5">
        <v>71537.5</v>
      </c>
      <c r="AC312">
        <v>286.14999999999998</v>
      </c>
      <c r="AD312">
        <v>250</v>
      </c>
      <c r="AE312" s="1">
        <v>71537.5</v>
      </c>
      <c r="AF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 s="2">
        <v>42831</v>
      </c>
      <c r="AQ312" t="s">
        <v>72</v>
      </c>
      <c r="AR312" t="s">
        <v>72</v>
      </c>
      <c r="AS312">
        <v>472</v>
      </c>
      <c r="AT312" s="4">
        <v>42782</v>
      </c>
      <c r="AU312" t="s">
        <v>73</v>
      </c>
      <c r="AV312">
        <v>472</v>
      </c>
      <c r="AW312" s="4">
        <v>42782</v>
      </c>
      <c r="BD312">
        <v>0</v>
      </c>
      <c r="BN312" t="s">
        <v>74</v>
      </c>
    </row>
    <row r="313" spans="1:66">
      <c r="A313">
        <v>100270</v>
      </c>
      <c r="B313" t="s">
        <v>124</v>
      </c>
      <c r="C313" s="1">
        <v>43300101</v>
      </c>
      <c r="D313" t="s">
        <v>67</v>
      </c>
      <c r="H313" t="str">
        <f t="shared" si="36"/>
        <v>03748120155</v>
      </c>
      <c r="I313" t="str">
        <f t="shared" si="37"/>
        <v>01364640233</v>
      </c>
      <c r="K313" t="str">
        <f>""</f>
        <v/>
      </c>
      <c r="M313" t="s">
        <v>68</v>
      </c>
      <c r="N313" t="str">
        <f t="shared" si="35"/>
        <v>FOR</v>
      </c>
      <c r="O313" t="s">
        <v>69</v>
      </c>
      <c r="P313" t="s">
        <v>75</v>
      </c>
      <c r="Q313">
        <v>2016</v>
      </c>
      <c r="R313" s="4">
        <v>42482</v>
      </c>
      <c r="S313" s="2">
        <v>42496</v>
      </c>
      <c r="T313" s="2">
        <v>42492</v>
      </c>
      <c r="U313" s="4">
        <v>42552</v>
      </c>
      <c r="V313" t="s">
        <v>71</v>
      </c>
      <c r="W313" t="str">
        <f>"            31604416"</f>
        <v xml:space="preserve">            31604416</v>
      </c>
      <c r="X313" s="1">
        <v>9770.2800000000007</v>
      </c>
      <c r="Y313">
        <v>0</v>
      </c>
      <c r="Z313" s="5">
        <v>9394.5</v>
      </c>
      <c r="AA313" s="3">
        <v>230</v>
      </c>
      <c r="AB313" s="5">
        <v>2160735</v>
      </c>
      <c r="AC313" s="1">
        <v>9394.5</v>
      </c>
      <c r="AD313">
        <v>230</v>
      </c>
      <c r="AE313" s="1">
        <v>2160735</v>
      </c>
      <c r="AF313">
        <v>0</v>
      </c>
      <c r="AJ313">
        <v>0</v>
      </c>
      <c r="AK313">
        <v>0</v>
      </c>
      <c r="AL313">
        <v>0</v>
      </c>
      <c r="AM313">
        <v>0</v>
      </c>
      <c r="AN313">
        <v>0</v>
      </c>
      <c r="AO313">
        <v>0</v>
      </c>
      <c r="AP313" s="2">
        <v>42831</v>
      </c>
      <c r="AQ313" t="s">
        <v>72</v>
      </c>
      <c r="AR313" t="s">
        <v>72</v>
      </c>
      <c r="AS313">
        <v>472</v>
      </c>
      <c r="AT313" s="4">
        <v>42782</v>
      </c>
      <c r="AU313" t="s">
        <v>73</v>
      </c>
      <c r="AV313">
        <v>472</v>
      </c>
      <c r="AW313" s="4">
        <v>42782</v>
      </c>
      <c r="BD313">
        <v>0</v>
      </c>
      <c r="BN313" t="s">
        <v>74</v>
      </c>
    </row>
    <row r="314" spans="1:66">
      <c r="A314">
        <v>100270</v>
      </c>
      <c r="B314" t="s">
        <v>124</v>
      </c>
      <c r="C314" s="1">
        <v>43300101</v>
      </c>
      <c r="D314" t="s">
        <v>67</v>
      </c>
      <c r="H314" t="str">
        <f t="shared" si="36"/>
        <v>03748120155</v>
      </c>
      <c r="I314" t="str">
        <f t="shared" si="37"/>
        <v>01364640233</v>
      </c>
      <c r="K314" t="str">
        <f>""</f>
        <v/>
      </c>
      <c r="M314" t="s">
        <v>68</v>
      </c>
      <c r="N314" t="str">
        <f t="shared" si="35"/>
        <v>FOR</v>
      </c>
      <c r="O314" t="s">
        <v>69</v>
      </c>
      <c r="P314" t="s">
        <v>75</v>
      </c>
      <c r="Q314">
        <v>2016</v>
      </c>
      <c r="R314" s="4">
        <v>42489</v>
      </c>
      <c r="S314" s="2">
        <v>42501</v>
      </c>
      <c r="T314" s="2">
        <v>42499</v>
      </c>
      <c r="U314" s="4">
        <v>42559</v>
      </c>
      <c r="V314" t="s">
        <v>71</v>
      </c>
      <c r="W314" t="str">
        <f>"            31604642"</f>
        <v xml:space="preserve">            31604642</v>
      </c>
      <c r="X314">
        <v>297.60000000000002</v>
      </c>
      <c r="Y314">
        <v>0</v>
      </c>
      <c r="Z314" s="5">
        <v>286.14999999999998</v>
      </c>
      <c r="AA314" s="3">
        <v>223</v>
      </c>
      <c r="AB314" s="5">
        <v>63811.45</v>
      </c>
      <c r="AC314">
        <v>286.14999999999998</v>
      </c>
      <c r="AD314">
        <v>223</v>
      </c>
      <c r="AE314" s="1">
        <v>63811.45</v>
      </c>
      <c r="AF314">
        <v>0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 s="2">
        <v>42831</v>
      </c>
      <c r="AQ314" t="s">
        <v>72</v>
      </c>
      <c r="AR314" t="s">
        <v>72</v>
      </c>
      <c r="AS314">
        <v>472</v>
      </c>
      <c r="AT314" s="4">
        <v>42782</v>
      </c>
      <c r="AU314" t="s">
        <v>73</v>
      </c>
      <c r="AV314">
        <v>472</v>
      </c>
      <c r="AW314" s="4">
        <v>42782</v>
      </c>
      <c r="BD314">
        <v>0</v>
      </c>
      <c r="BN314" t="s">
        <v>74</v>
      </c>
    </row>
    <row r="315" spans="1:66">
      <c r="A315">
        <v>100270</v>
      </c>
      <c r="B315" t="s">
        <v>124</v>
      </c>
      <c r="C315" s="1">
        <v>43300101</v>
      </c>
      <c r="D315" t="s">
        <v>67</v>
      </c>
      <c r="H315" t="str">
        <f t="shared" si="36"/>
        <v>03748120155</v>
      </c>
      <c r="I315" t="str">
        <f t="shared" si="37"/>
        <v>01364640233</v>
      </c>
      <c r="K315" t="str">
        <f>""</f>
        <v/>
      </c>
      <c r="M315" t="s">
        <v>68</v>
      </c>
      <c r="N315" t="str">
        <f t="shared" si="35"/>
        <v>FOR</v>
      </c>
      <c r="O315" t="s">
        <v>69</v>
      </c>
      <c r="P315" t="s">
        <v>75</v>
      </c>
      <c r="Q315">
        <v>2016</v>
      </c>
      <c r="R315" s="4">
        <v>42489</v>
      </c>
      <c r="S315" s="2">
        <v>42501</v>
      </c>
      <c r="T315" s="2">
        <v>42499</v>
      </c>
      <c r="U315" s="4">
        <v>42559</v>
      </c>
      <c r="V315" t="s">
        <v>71</v>
      </c>
      <c r="W315" t="str">
        <f>"            31604643"</f>
        <v xml:space="preserve">            31604643</v>
      </c>
      <c r="X315">
        <v>297.60000000000002</v>
      </c>
      <c r="Y315">
        <v>0</v>
      </c>
      <c r="Z315" s="5">
        <v>286.14999999999998</v>
      </c>
      <c r="AA315" s="3">
        <v>223</v>
      </c>
      <c r="AB315" s="5">
        <v>63811.45</v>
      </c>
      <c r="AC315">
        <v>286.14999999999998</v>
      </c>
      <c r="AD315">
        <v>223</v>
      </c>
      <c r="AE315" s="1">
        <v>63811.45</v>
      </c>
      <c r="AF315">
        <v>0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 s="2">
        <v>42831</v>
      </c>
      <c r="AQ315" t="s">
        <v>72</v>
      </c>
      <c r="AR315" t="s">
        <v>72</v>
      </c>
      <c r="AS315">
        <v>472</v>
      </c>
      <c r="AT315" s="4">
        <v>42782</v>
      </c>
      <c r="AU315" t="s">
        <v>73</v>
      </c>
      <c r="AV315">
        <v>472</v>
      </c>
      <c r="AW315" s="4">
        <v>42782</v>
      </c>
      <c r="BD315">
        <v>0</v>
      </c>
      <c r="BN315" t="s">
        <v>74</v>
      </c>
    </row>
    <row r="316" spans="1:66">
      <c r="A316">
        <v>100270</v>
      </c>
      <c r="B316" t="s">
        <v>124</v>
      </c>
      <c r="C316" s="1">
        <v>43300101</v>
      </c>
      <c r="D316" t="s">
        <v>67</v>
      </c>
      <c r="H316" t="str">
        <f t="shared" si="36"/>
        <v>03748120155</v>
      </c>
      <c r="I316" t="str">
        <f t="shared" si="37"/>
        <v>01364640233</v>
      </c>
      <c r="K316" t="str">
        <f>""</f>
        <v/>
      </c>
      <c r="M316" t="s">
        <v>68</v>
      </c>
      <c r="N316" t="str">
        <f t="shared" si="35"/>
        <v>FOR</v>
      </c>
      <c r="O316" t="s">
        <v>69</v>
      </c>
      <c r="P316" t="s">
        <v>75</v>
      </c>
      <c r="Q316">
        <v>2016</v>
      </c>
      <c r="R316" s="4">
        <v>42489</v>
      </c>
      <c r="S316" s="2">
        <v>42501</v>
      </c>
      <c r="T316" s="2">
        <v>42499</v>
      </c>
      <c r="U316" s="4">
        <v>42559</v>
      </c>
      <c r="V316" t="s">
        <v>71</v>
      </c>
      <c r="W316" t="str">
        <f>"            31604644"</f>
        <v xml:space="preserve">            31604644</v>
      </c>
      <c r="X316" s="1">
        <v>2253.66</v>
      </c>
      <c r="Y316">
        <v>0</v>
      </c>
      <c r="Z316" s="5">
        <v>2166.98</v>
      </c>
      <c r="AA316" s="3">
        <v>223</v>
      </c>
      <c r="AB316" s="5">
        <v>483236.54</v>
      </c>
      <c r="AC316" s="1">
        <v>2166.98</v>
      </c>
      <c r="AD316">
        <v>223</v>
      </c>
      <c r="AE316" s="1">
        <v>483236.54</v>
      </c>
      <c r="AF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 s="2">
        <v>42831</v>
      </c>
      <c r="AQ316" t="s">
        <v>72</v>
      </c>
      <c r="AR316" t="s">
        <v>72</v>
      </c>
      <c r="AS316">
        <v>472</v>
      </c>
      <c r="AT316" s="4">
        <v>42782</v>
      </c>
      <c r="AU316" t="s">
        <v>73</v>
      </c>
      <c r="AV316">
        <v>472</v>
      </c>
      <c r="AW316" s="4">
        <v>42782</v>
      </c>
      <c r="BD316">
        <v>0</v>
      </c>
      <c r="BN316" t="s">
        <v>74</v>
      </c>
    </row>
    <row r="317" spans="1:66">
      <c r="A317">
        <v>100270</v>
      </c>
      <c r="B317" t="s">
        <v>124</v>
      </c>
      <c r="C317" s="1">
        <v>43300101</v>
      </c>
      <c r="D317" t="s">
        <v>67</v>
      </c>
      <c r="H317" t="str">
        <f t="shared" si="36"/>
        <v>03748120155</v>
      </c>
      <c r="I317" t="str">
        <f t="shared" si="37"/>
        <v>01364640233</v>
      </c>
      <c r="K317" t="str">
        <f>""</f>
        <v/>
      </c>
      <c r="M317" t="s">
        <v>68</v>
      </c>
      <c r="N317" t="str">
        <f t="shared" si="35"/>
        <v>FOR</v>
      </c>
      <c r="O317" t="s">
        <v>69</v>
      </c>
      <c r="P317" t="s">
        <v>75</v>
      </c>
      <c r="Q317">
        <v>2016</v>
      </c>
      <c r="R317" s="4">
        <v>42517</v>
      </c>
      <c r="S317" s="2">
        <v>42530</v>
      </c>
      <c r="T317" s="2">
        <v>42529</v>
      </c>
      <c r="U317" s="4">
        <v>42589</v>
      </c>
      <c r="V317" t="s">
        <v>71</v>
      </c>
      <c r="W317" t="str">
        <f>"            31605801"</f>
        <v xml:space="preserve">            31605801</v>
      </c>
      <c r="X317" s="1">
        <v>13390.26</v>
      </c>
      <c r="Y317">
        <v>0</v>
      </c>
      <c r="Z317" s="5">
        <v>12875.25</v>
      </c>
      <c r="AA317" s="3">
        <v>208</v>
      </c>
      <c r="AB317" s="5">
        <v>2678052</v>
      </c>
      <c r="AC317" s="1">
        <v>12875.25</v>
      </c>
      <c r="AD317">
        <v>208</v>
      </c>
      <c r="AE317" s="1">
        <v>2678052</v>
      </c>
      <c r="AF317">
        <v>515.01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 s="2">
        <v>42831</v>
      </c>
      <c r="AQ317" t="s">
        <v>72</v>
      </c>
      <c r="AR317" t="s">
        <v>72</v>
      </c>
      <c r="AS317">
        <v>717</v>
      </c>
      <c r="AT317" s="4">
        <v>42797</v>
      </c>
      <c r="AU317" t="s">
        <v>73</v>
      </c>
      <c r="AV317">
        <v>717</v>
      </c>
      <c r="AW317" s="4">
        <v>42797</v>
      </c>
      <c r="BD317">
        <v>515.01</v>
      </c>
      <c r="BN317" t="s">
        <v>74</v>
      </c>
    </row>
    <row r="318" spans="1:66">
      <c r="A318">
        <v>100270</v>
      </c>
      <c r="B318" t="s">
        <v>124</v>
      </c>
      <c r="C318" s="1">
        <v>43300101</v>
      </c>
      <c r="D318" t="s">
        <v>67</v>
      </c>
      <c r="H318" t="str">
        <f t="shared" si="36"/>
        <v>03748120155</v>
      </c>
      <c r="I318" t="str">
        <f t="shared" si="37"/>
        <v>01364640233</v>
      </c>
      <c r="K318" t="str">
        <f>""</f>
        <v/>
      </c>
      <c r="M318" t="s">
        <v>68</v>
      </c>
      <c r="N318" t="str">
        <f t="shared" si="35"/>
        <v>FOR</v>
      </c>
      <c r="O318" t="s">
        <v>69</v>
      </c>
      <c r="P318" t="s">
        <v>75</v>
      </c>
      <c r="Q318">
        <v>2016</v>
      </c>
      <c r="R318" s="4">
        <v>42520</v>
      </c>
      <c r="S318" s="2">
        <v>42530</v>
      </c>
      <c r="T318" s="2">
        <v>42529</v>
      </c>
      <c r="U318" s="4">
        <v>42589</v>
      </c>
      <c r="V318" t="s">
        <v>71</v>
      </c>
      <c r="W318" t="str">
        <f>"            31605813"</f>
        <v xml:space="preserve">            31605813</v>
      </c>
      <c r="X318" s="1">
        <v>9770.2800000000007</v>
      </c>
      <c r="Y318">
        <v>0</v>
      </c>
      <c r="Z318" s="5">
        <v>9394.5</v>
      </c>
      <c r="AA318" s="3">
        <v>208</v>
      </c>
      <c r="AB318" s="5">
        <v>1954056</v>
      </c>
      <c r="AC318" s="1">
        <v>9394.5</v>
      </c>
      <c r="AD318">
        <v>208</v>
      </c>
      <c r="AE318" s="1">
        <v>1954056</v>
      </c>
      <c r="AF318">
        <v>375.78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 s="2">
        <v>42831</v>
      </c>
      <c r="AQ318" t="s">
        <v>72</v>
      </c>
      <c r="AR318" t="s">
        <v>72</v>
      </c>
      <c r="AS318">
        <v>717</v>
      </c>
      <c r="AT318" s="4">
        <v>42797</v>
      </c>
      <c r="AU318" t="s">
        <v>73</v>
      </c>
      <c r="AV318">
        <v>717</v>
      </c>
      <c r="AW318" s="4">
        <v>42797</v>
      </c>
      <c r="BD318">
        <v>375.78</v>
      </c>
      <c r="BN318" t="s">
        <v>74</v>
      </c>
    </row>
    <row r="319" spans="1:66">
      <c r="A319">
        <v>100270</v>
      </c>
      <c r="B319" t="s">
        <v>124</v>
      </c>
      <c r="C319" s="1">
        <v>43300101</v>
      </c>
      <c r="D319" t="s">
        <v>67</v>
      </c>
      <c r="H319" t="str">
        <f t="shared" si="36"/>
        <v>03748120155</v>
      </c>
      <c r="I319" t="str">
        <f t="shared" si="37"/>
        <v>01364640233</v>
      </c>
      <c r="K319" t="str">
        <f>""</f>
        <v/>
      </c>
      <c r="M319" t="s">
        <v>68</v>
      </c>
      <c r="N319" t="str">
        <f t="shared" si="35"/>
        <v>FOR</v>
      </c>
      <c r="O319" t="s">
        <v>69</v>
      </c>
      <c r="P319" t="s">
        <v>75</v>
      </c>
      <c r="Q319">
        <v>2016</v>
      </c>
      <c r="R319" s="4">
        <v>42520</v>
      </c>
      <c r="S319" s="2">
        <v>42530</v>
      </c>
      <c r="T319" s="2">
        <v>42529</v>
      </c>
      <c r="U319" s="4">
        <v>42589</v>
      </c>
      <c r="V319" t="s">
        <v>71</v>
      </c>
      <c r="W319" t="str">
        <f>"            31605814"</f>
        <v xml:space="preserve">            31605814</v>
      </c>
      <c r="X319" s="1">
        <v>12562.68</v>
      </c>
      <c r="Y319">
        <v>0</v>
      </c>
      <c r="Z319" s="5">
        <v>12079.5</v>
      </c>
      <c r="AA319" s="3">
        <v>208</v>
      </c>
      <c r="AB319" s="5">
        <v>2512536</v>
      </c>
      <c r="AC319" s="1">
        <v>12079.5</v>
      </c>
      <c r="AD319">
        <v>208</v>
      </c>
      <c r="AE319" s="1">
        <v>2512536</v>
      </c>
      <c r="AF319">
        <v>483.18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 s="2">
        <v>42831</v>
      </c>
      <c r="AQ319" t="s">
        <v>72</v>
      </c>
      <c r="AR319" t="s">
        <v>72</v>
      </c>
      <c r="AS319">
        <v>717</v>
      </c>
      <c r="AT319" s="4">
        <v>42797</v>
      </c>
      <c r="AU319" t="s">
        <v>73</v>
      </c>
      <c r="AV319">
        <v>717</v>
      </c>
      <c r="AW319" s="4">
        <v>42797</v>
      </c>
      <c r="BD319">
        <v>483.18</v>
      </c>
      <c r="BN319" t="s">
        <v>74</v>
      </c>
    </row>
    <row r="320" spans="1:66">
      <c r="A320">
        <v>100270</v>
      </c>
      <c r="B320" t="s">
        <v>124</v>
      </c>
      <c r="C320" s="1">
        <v>43300101</v>
      </c>
      <c r="D320" t="s">
        <v>67</v>
      </c>
      <c r="H320" t="str">
        <f t="shared" si="36"/>
        <v>03748120155</v>
      </c>
      <c r="I320" t="str">
        <f t="shared" si="37"/>
        <v>01364640233</v>
      </c>
      <c r="K320" t="str">
        <f>""</f>
        <v/>
      </c>
      <c r="M320" t="s">
        <v>68</v>
      </c>
      <c r="N320" t="str">
        <f t="shared" si="35"/>
        <v>FOR</v>
      </c>
      <c r="O320" t="s">
        <v>69</v>
      </c>
      <c r="P320" t="s">
        <v>75</v>
      </c>
      <c r="Q320">
        <v>2016</v>
      </c>
      <c r="R320" s="4">
        <v>42520</v>
      </c>
      <c r="S320" s="2">
        <v>42530</v>
      </c>
      <c r="T320" s="2">
        <v>42529</v>
      </c>
      <c r="U320" s="4">
        <v>42589</v>
      </c>
      <c r="V320" t="s">
        <v>71</v>
      </c>
      <c r="W320" t="str">
        <f>"            31605815"</f>
        <v xml:space="preserve">            31605815</v>
      </c>
      <c r="X320" s="1">
        <v>9770.2800000000007</v>
      </c>
      <c r="Y320">
        <v>0</v>
      </c>
      <c r="Z320" s="5">
        <v>9394.5</v>
      </c>
      <c r="AA320" s="3">
        <v>208</v>
      </c>
      <c r="AB320" s="5">
        <v>1954056</v>
      </c>
      <c r="AC320" s="1">
        <v>9394.5</v>
      </c>
      <c r="AD320">
        <v>208</v>
      </c>
      <c r="AE320" s="1">
        <v>1954056</v>
      </c>
      <c r="AF320">
        <v>375.78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0</v>
      </c>
      <c r="AP320" s="2">
        <v>42831</v>
      </c>
      <c r="AQ320" t="s">
        <v>72</v>
      </c>
      <c r="AR320" t="s">
        <v>72</v>
      </c>
      <c r="AS320">
        <v>717</v>
      </c>
      <c r="AT320" s="4">
        <v>42797</v>
      </c>
      <c r="AU320" t="s">
        <v>73</v>
      </c>
      <c r="AV320">
        <v>717</v>
      </c>
      <c r="AW320" s="4">
        <v>42797</v>
      </c>
      <c r="BD320">
        <v>375.78</v>
      </c>
      <c r="BN320" t="s">
        <v>74</v>
      </c>
    </row>
    <row r="321" spans="1:66" hidden="1">
      <c r="A321">
        <v>100271</v>
      </c>
      <c r="B321" t="s">
        <v>125</v>
      </c>
      <c r="C321" s="1">
        <v>43500101</v>
      </c>
      <c r="D321" t="s">
        <v>98</v>
      </c>
      <c r="H321" t="str">
        <f t="shared" ref="H321:I323" si="38">"08437820155"</f>
        <v>08437820155</v>
      </c>
      <c r="I321" t="str">
        <f t="shared" si="38"/>
        <v>08437820155</v>
      </c>
      <c r="K321" t="str">
        <f>""</f>
        <v/>
      </c>
      <c r="M321" t="s">
        <v>68</v>
      </c>
      <c r="N321" t="str">
        <f>"ALTFIN"</f>
        <v>ALTFIN</v>
      </c>
      <c r="O321" t="s">
        <v>102</v>
      </c>
      <c r="P321" t="s">
        <v>82</v>
      </c>
      <c r="Q321">
        <v>2017</v>
      </c>
      <c r="R321" s="4">
        <v>42755</v>
      </c>
      <c r="S321" s="2">
        <v>42755</v>
      </c>
      <c r="T321" s="2">
        <v>42755</v>
      </c>
      <c r="U321" s="4">
        <v>42815</v>
      </c>
      <c r="V321" t="s">
        <v>71</v>
      </c>
      <c r="W321" t="str">
        <f>"                0120"</f>
        <v xml:space="preserve">                0120</v>
      </c>
      <c r="X321">
        <v>0</v>
      </c>
      <c r="Y321" s="1">
        <v>3717</v>
      </c>
      <c r="Z321" s="5">
        <v>3717</v>
      </c>
      <c r="AA321" s="3">
        <v>-57</v>
      </c>
      <c r="AB321" s="5">
        <v>-211869</v>
      </c>
      <c r="AC321" s="1">
        <v>3717</v>
      </c>
      <c r="AD321">
        <v>-57</v>
      </c>
      <c r="AE321" s="1">
        <v>-211869</v>
      </c>
      <c r="AF321">
        <v>0</v>
      </c>
      <c r="AJ321" s="1">
        <v>3717</v>
      </c>
      <c r="AK321" s="1">
        <v>3717</v>
      </c>
      <c r="AL321" s="1">
        <v>3717</v>
      </c>
      <c r="AM321" s="1">
        <v>3717</v>
      </c>
      <c r="AN321" s="1">
        <v>3717</v>
      </c>
      <c r="AO321" s="1">
        <v>3717</v>
      </c>
      <c r="AP321" s="2">
        <v>42831</v>
      </c>
      <c r="AQ321" t="s">
        <v>72</v>
      </c>
      <c r="AR321" t="s">
        <v>72</v>
      </c>
      <c r="AS321">
        <v>27</v>
      </c>
      <c r="AT321" s="4">
        <v>42758</v>
      </c>
      <c r="AV321">
        <v>27</v>
      </c>
      <c r="AW321" s="4">
        <v>42758</v>
      </c>
      <c r="BD321">
        <v>0</v>
      </c>
      <c r="BN321" t="s">
        <v>74</v>
      </c>
    </row>
    <row r="322" spans="1:66" hidden="1">
      <c r="A322">
        <v>100271</v>
      </c>
      <c r="B322" t="s">
        <v>125</v>
      </c>
      <c r="C322" s="1">
        <v>43500101</v>
      </c>
      <c r="D322" t="s">
        <v>98</v>
      </c>
      <c r="H322" t="str">
        <f t="shared" si="38"/>
        <v>08437820155</v>
      </c>
      <c r="I322" t="str">
        <f t="shared" si="38"/>
        <v>08437820155</v>
      </c>
      <c r="K322" t="str">
        <f>""</f>
        <v/>
      </c>
      <c r="M322" t="s">
        <v>68</v>
      </c>
      <c r="N322" t="str">
        <f>"ALTFIN"</f>
        <v>ALTFIN</v>
      </c>
      <c r="O322" t="s">
        <v>102</v>
      </c>
      <c r="P322" t="s">
        <v>83</v>
      </c>
      <c r="Q322">
        <v>2017</v>
      </c>
      <c r="R322" s="4">
        <v>42786</v>
      </c>
      <c r="S322" s="2">
        <v>42787</v>
      </c>
      <c r="T322" s="2">
        <v>42787</v>
      </c>
      <c r="U322" s="4">
        <v>42847</v>
      </c>
      <c r="V322" t="s">
        <v>71</v>
      </c>
      <c r="W322" t="str">
        <f>"                0220"</f>
        <v xml:space="preserve">                0220</v>
      </c>
      <c r="X322">
        <v>0</v>
      </c>
      <c r="Y322" s="1">
        <v>4044</v>
      </c>
      <c r="Z322" s="5">
        <v>4044</v>
      </c>
      <c r="AA322" s="3">
        <v>-60</v>
      </c>
      <c r="AB322" s="5">
        <v>-242640</v>
      </c>
      <c r="AC322" s="1">
        <v>4044</v>
      </c>
      <c r="AD322">
        <v>-60</v>
      </c>
      <c r="AE322" s="1">
        <v>-242640</v>
      </c>
      <c r="AF322">
        <v>0</v>
      </c>
      <c r="AJ322" s="1">
        <v>4044</v>
      </c>
      <c r="AK322" s="1">
        <v>4044</v>
      </c>
      <c r="AL322" s="1">
        <v>4044</v>
      </c>
      <c r="AM322" s="1">
        <v>4044</v>
      </c>
      <c r="AN322" s="1">
        <v>4044</v>
      </c>
      <c r="AO322" s="1">
        <v>4044</v>
      </c>
      <c r="AP322" s="2">
        <v>42831</v>
      </c>
      <c r="AQ322" t="s">
        <v>72</v>
      </c>
      <c r="AR322" t="s">
        <v>72</v>
      </c>
      <c r="AS322">
        <v>507</v>
      </c>
      <c r="AT322" s="4">
        <v>42787</v>
      </c>
      <c r="AV322">
        <v>507</v>
      </c>
      <c r="AW322" s="4">
        <v>42787</v>
      </c>
      <c r="BD322">
        <v>0</v>
      </c>
      <c r="BN322" t="s">
        <v>74</v>
      </c>
    </row>
    <row r="323" spans="1:66" hidden="1">
      <c r="A323">
        <v>100271</v>
      </c>
      <c r="B323" t="s">
        <v>125</v>
      </c>
      <c r="C323" s="1">
        <v>43500101</v>
      </c>
      <c r="D323" t="s">
        <v>98</v>
      </c>
      <c r="H323" t="str">
        <f t="shared" si="38"/>
        <v>08437820155</v>
      </c>
      <c r="I323" t="str">
        <f t="shared" si="38"/>
        <v>08437820155</v>
      </c>
      <c r="K323" t="str">
        <f>""</f>
        <v/>
      </c>
      <c r="M323" t="s">
        <v>68</v>
      </c>
      <c r="N323" t="str">
        <f>"ALTFIN"</f>
        <v>ALTFIN</v>
      </c>
      <c r="O323" t="s">
        <v>102</v>
      </c>
      <c r="P323" t="s">
        <v>84</v>
      </c>
      <c r="Q323">
        <v>2017</v>
      </c>
      <c r="R323" s="4">
        <v>42815</v>
      </c>
      <c r="S323" s="2">
        <v>42815</v>
      </c>
      <c r="T323" s="2">
        <v>42815</v>
      </c>
      <c r="U323" s="4">
        <v>42875</v>
      </c>
      <c r="V323" t="s">
        <v>71</v>
      </c>
      <c r="W323" t="str">
        <f>"                0321"</f>
        <v xml:space="preserve">                0321</v>
      </c>
      <c r="X323">
        <v>0</v>
      </c>
      <c r="Y323" s="1">
        <v>4044</v>
      </c>
      <c r="Z323" s="5">
        <v>4044</v>
      </c>
      <c r="AA323" s="3">
        <v>-60</v>
      </c>
      <c r="AB323" s="5">
        <v>-242640</v>
      </c>
      <c r="AC323" s="1">
        <v>4044</v>
      </c>
      <c r="AD323">
        <v>-60</v>
      </c>
      <c r="AE323" s="1">
        <v>-242640</v>
      </c>
      <c r="AF323">
        <v>0</v>
      </c>
      <c r="AJ323" s="1">
        <v>4044</v>
      </c>
      <c r="AK323" s="1">
        <v>4044</v>
      </c>
      <c r="AL323" s="1">
        <v>4044</v>
      </c>
      <c r="AM323" s="1">
        <v>4044</v>
      </c>
      <c r="AN323" s="1">
        <v>4044</v>
      </c>
      <c r="AO323" s="1">
        <v>4044</v>
      </c>
      <c r="AP323" s="2">
        <v>42831</v>
      </c>
      <c r="AQ323" t="s">
        <v>72</v>
      </c>
      <c r="AR323" t="s">
        <v>72</v>
      </c>
      <c r="AS323">
        <v>804</v>
      </c>
      <c r="AT323" s="4">
        <v>42815</v>
      </c>
      <c r="AV323">
        <v>804</v>
      </c>
      <c r="AW323" s="4">
        <v>42815</v>
      </c>
      <c r="BD323">
        <v>0</v>
      </c>
      <c r="BN323" t="s">
        <v>74</v>
      </c>
    </row>
    <row r="324" spans="1:66">
      <c r="A324">
        <v>100275</v>
      </c>
      <c r="B324" t="s">
        <v>126</v>
      </c>
      <c r="C324" s="1">
        <v>43300101</v>
      </c>
      <c r="D324" t="s">
        <v>67</v>
      </c>
      <c r="H324" t="str">
        <f>""</f>
        <v/>
      </c>
      <c r="I324" t="str">
        <f>"00725050157"</f>
        <v>00725050157</v>
      </c>
      <c r="K324" t="str">
        <f>""</f>
        <v/>
      </c>
      <c r="M324" t="s">
        <v>68</v>
      </c>
      <c r="N324" t="str">
        <f t="shared" ref="N324:N340" si="39">"FOR"</f>
        <v>FOR</v>
      </c>
      <c r="O324" t="s">
        <v>69</v>
      </c>
      <c r="P324" t="s">
        <v>75</v>
      </c>
      <c r="Q324">
        <v>2016</v>
      </c>
      <c r="R324" s="4">
        <v>42704</v>
      </c>
      <c r="S324" s="2">
        <v>42711</v>
      </c>
      <c r="T324" s="2">
        <v>42705</v>
      </c>
      <c r="U324" s="4">
        <v>42765</v>
      </c>
      <c r="V324" t="s">
        <v>71</v>
      </c>
      <c r="W324" t="str">
        <f>"            V1607515"</f>
        <v xml:space="preserve">            V1607515</v>
      </c>
      <c r="X324" s="1">
        <v>3120</v>
      </c>
      <c r="Y324">
        <v>0</v>
      </c>
      <c r="Z324" s="5">
        <v>3000</v>
      </c>
      <c r="AA324" s="3">
        <v>9</v>
      </c>
      <c r="AB324" s="5">
        <v>27000</v>
      </c>
      <c r="AC324" s="1">
        <v>3000</v>
      </c>
      <c r="AD324">
        <v>9</v>
      </c>
      <c r="AE324" s="1">
        <v>27000</v>
      </c>
      <c r="AF324">
        <v>0</v>
      </c>
      <c r="AJ324">
        <v>0</v>
      </c>
      <c r="AK324">
        <v>0</v>
      </c>
      <c r="AL324">
        <v>0</v>
      </c>
      <c r="AM324">
        <v>0</v>
      </c>
      <c r="AN324">
        <v>0</v>
      </c>
      <c r="AO324">
        <v>0</v>
      </c>
      <c r="AP324" s="2">
        <v>42831</v>
      </c>
      <c r="AQ324" t="s">
        <v>72</v>
      </c>
      <c r="AR324" t="s">
        <v>72</v>
      </c>
      <c r="AS324">
        <v>329</v>
      </c>
      <c r="AT324" s="4">
        <v>42774</v>
      </c>
      <c r="AU324" t="s">
        <v>73</v>
      </c>
      <c r="AV324">
        <v>329</v>
      </c>
      <c r="AW324" s="4">
        <v>42774</v>
      </c>
      <c r="BD324">
        <v>0</v>
      </c>
      <c r="BN324" t="s">
        <v>74</v>
      </c>
    </row>
    <row r="325" spans="1:66">
      <c r="A325">
        <v>100280</v>
      </c>
      <c r="B325" t="s">
        <v>127</v>
      </c>
      <c r="C325" s="1">
        <v>43300101</v>
      </c>
      <c r="D325" t="s">
        <v>67</v>
      </c>
      <c r="H325" t="str">
        <f>"01657920151"</f>
        <v>01657920151</v>
      </c>
      <c r="I325" t="str">
        <f>"01657920151"</f>
        <v>01657920151</v>
      </c>
      <c r="K325" t="str">
        <f>""</f>
        <v/>
      </c>
      <c r="M325" t="s">
        <v>68</v>
      </c>
      <c r="N325" t="str">
        <f t="shared" si="39"/>
        <v>FOR</v>
      </c>
      <c r="O325" t="s">
        <v>69</v>
      </c>
      <c r="P325" t="s">
        <v>75</v>
      </c>
      <c r="Q325">
        <v>2016</v>
      </c>
      <c r="R325" s="4">
        <v>42580</v>
      </c>
      <c r="S325" s="2">
        <v>42591</v>
      </c>
      <c r="T325" s="2">
        <v>42590</v>
      </c>
      <c r="U325" s="4">
        <v>42650</v>
      </c>
      <c r="V325" t="s">
        <v>71</v>
      </c>
      <c r="W325" t="str">
        <f>"          321/S/2016"</f>
        <v xml:space="preserve">          321/S/2016</v>
      </c>
      <c r="X325" s="1">
        <v>1317.6</v>
      </c>
      <c r="Y325">
        <v>0</v>
      </c>
      <c r="Z325" s="5">
        <v>1080</v>
      </c>
      <c r="AA325" s="3">
        <v>125</v>
      </c>
      <c r="AB325" s="5">
        <v>135000</v>
      </c>
      <c r="AC325" s="1">
        <v>1080</v>
      </c>
      <c r="AD325">
        <v>125</v>
      </c>
      <c r="AE325" s="1">
        <v>135000</v>
      </c>
      <c r="AF325">
        <v>0</v>
      </c>
      <c r="AJ325">
        <v>0</v>
      </c>
      <c r="AK325">
        <v>0</v>
      </c>
      <c r="AL325">
        <v>0</v>
      </c>
      <c r="AM325">
        <v>0</v>
      </c>
      <c r="AN325">
        <v>0</v>
      </c>
      <c r="AO325">
        <v>0</v>
      </c>
      <c r="AP325" s="2">
        <v>42831</v>
      </c>
      <c r="AQ325" t="s">
        <v>72</v>
      </c>
      <c r="AR325" t="s">
        <v>72</v>
      </c>
      <c r="AS325">
        <v>382</v>
      </c>
      <c r="AT325" s="4">
        <v>42775</v>
      </c>
      <c r="AU325" t="s">
        <v>73</v>
      </c>
      <c r="AV325">
        <v>382</v>
      </c>
      <c r="AW325" s="4">
        <v>42775</v>
      </c>
      <c r="BD325">
        <v>0</v>
      </c>
      <c r="BN325" t="s">
        <v>74</v>
      </c>
    </row>
    <row r="326" spans="1:66">
      <c r="A326">
        <v>100280</v>
      </c>
      <c r="B326" t="s">
        <v>127</v>
      </c>
      <c r="C326" s="1">
        <v>43300101</v>
      </c>
      <c r="D326" t="s">
        <v>67</v>
      </c>
      <c r="H326" t="str">
        <f>"01657920151"</f>
        <v>01657920151</v>
      </c>
      <c r="I326" t="str">
        <f>"01657920151"</f>
        <v>01657920151</v>
      </c>
      <c r="K326" t="str">
        <f>""</f>
        <v/>
      </c>
      <c r="M326" t="s">
        <v>68</v>
      </c>
      <c r="N326" t="str">
        <f t="shared" si="39"/>
        <v>FOR</v>
      </c>
      <c r="O326" t="s">
        <v>69</v>
      </c>
      <c r="P326" t="s">
        <v>75</v>
      </c>
      <c r="Q326">
        <v>2016</v>
      </c>
      <c r="R326" s="4">
        <v>42613</v>
      </c>
      <c r="S326" s="2">
        <v>42625</v>
      </c>
      <c r="T326" s="2">
        <v>42621</v>
      </c>
      <c r="U326" s="4">
        <v>42681</v>
      </c>
      <c r="V326" t="s">
        <v>71</v>
      </c>
      <c r="W326" t="str">
        <f>"          349/S/2016"</f>
        <v xml:space="preserve">          349/S/2016</v>
      </c>
      <c r="X326">
        <v>102.48</v>
      </c>
      <c r="Y326">
        <v>0</v>
      </c>
      <c r="Z326" s="5">
        <v>84</v>
      </c>
      <c r="AA326" s="3">
        <v>94</v>
      </c>
      <c r="AB326" s="5">
        <v>7896</v>
      </c>
      <c r="AC326">
        <v>84</v>
      </c>
      <c r="AD326">
        <v>94</v>
      </c>
      <c r="AE326" s="1">
        <v>7896</v>
      </c>
      <c r="AF326">
        <v>0</v>
      </c>
      <c r="AJ326">
        <v>0</v>
      </c>
      <c r="AK326">
        <v>0</v>
      </c>
      <c r="AL326">
        <v>0</v>
      </c>
      <c r="AM326">
        <v>0</v>
      </c>
      <c r="AN326">
        <v>0</v>
      </c>
      <c r="AO326">
        <v>0</v>
      </c>
      <c r="AP326" s="2">
        <v>42831</v>
      </c>
      <c r="AQ326" t="s">
        <v>72</v>
      </c>
      <c r="AR326" t="s">
        <v>72</v>
      </c>
      <c r="AS326">
        <v>382</v>
      </c>
      <c r="AT326" s="4">
        <v>42775</v>
      </c>
      <c r="AU326" t="s">
        <v>73</v>
      </c>
      <c r="AV326">
        <v>382</v>
      </c>
      <c r="AW326" s="4">
        <v>42775</v>
      </c>
      <c r="BD326">
        <v>0</v>
      </c>
      <c r="BN326" t="s">
        <v>74</v>
      </c>
    </row>
    <row r="327" spans="1:66">
      <c r="A327">
        <v>100294</v>
      </c>
      <c r="B327" t="s">
        <v>128</v>
      </c>
      <c r="C327" s="1">
        <v>43300101</v>
      </c>
      <c r="D327" t="s">
        <v>67</v>
      </c>
      <c r="H327" t="str">
        <f t="shared" ref="H327:I331" si="40">"06068041000"</f>
        <v>06068041000</v>
      </c>
      <c r="I327" t="str">
        <f t="shared" si="40"/>
        <v>06068041000</v>
      </c>
      <c r="K327" t="str">
        <f>""</f>
        <v/>
      </c>
      <c r="M327" t="s">
        <v>68</v>
      </c>
      <c r="N327" t="str">
        <f t="shared" si="39"/>
        <v>FOR</v>
      </c>
      <c r="O327" t="s">
        <v>69</v>
      </c>
      <c r="P327" t="s">
        <v>75</v>
      </c>
      <c r="Q327">
        <v>2016</v>
      </c>
      <c r="R327" s="4">
        <v>42446</v>
      </c>
      <c r="S327" s="2">
        <v>42642</v>
      </c>
      <c r="T327" s="2">
        <v>42641</v>
      </c>
      <c r="U327" s="4">
        <v>42701</v>
      </c>
      <c r="V327" t="s">
        <v>71</v>
      </c>
      <c r="W327" t="str">
        <f>"            21604793"</f>
        <v xml:space="preserve">            21604793</v>
      </c>
      <c r="X327" s="1">
        <v>3660</v>
      </c>
      <c r="Y327">
        <v>0</v>
      </c>
      <c r="Z327" s="5">
        <v>3000</v>
      </c>
      <c r="AA327" s="3">
        <v>67</v>
      </c>
      <c r="AB327" s="5">
        <v>201000</v>
      </c>
      <c r="AC327" s="1">
        <v>3000</v>
      </c>
      <c r="AD327">
        <v>67</v>
      </c>
      <c r="AE327" s="1">
        <v>201000</v>
      </c>
      <c r="AF327">
        <v>0</v>
      </c>
      <c r="AJ327">
        <v>0</v>
      </c>
      <c r="AK327">
        <v>0</v>
      </c>
      <c r="AL327">
        <v>0</v>
      </c>
      <c r="AM327">
        <v>0</v>
      </c>
      <c r="AN327">
        <v>0</v>
      </c>
      <c r="AO327">
        <v>0</v>
      </c>
      <c r="AP327" s="2">
        <v>42831</v>
      </c>
      <c r="AQ327" t="s">
        <v>72</v>
      </c>
      <c r="AR327" t="s">
        <v>72</v>
      </c>
      <c r="AS327">
        <v>206</v>
      </c>
      <c r="AT327" s="4">
        <v>42768</v>
      </c>
      <c r="AU327" t="s">
        <v>73</v>
      </c>
      <c r="AV327">
        <v>206</v>
      </c>
      <c r="AW327" s="4">
        <v>42768</v>
      </c>
      <c r="BD327">
        <v>0</v>
      </c>
      <c r="BN327" t="s">
        <v>74</v>
      </c>
    </row>
    <row r="328" spans="1:66">
      <c r="A328">
        <v>100294</v>
      </c>
      <c r="B328" t="s">
        <v>128</v>
      </c>
      <c r="C328" s="1">
        <v>43300101</v>
      </c>
      <c r="D328" t="s">
        <v>67</v>
      </c>
      <c r="H328" t="str">
        <f t="shared" si="40"/>
        <v>06068041000</v>
      </c>
      <c r="I328" t="str">
        <f t="shared" si="40"/>
        <v>06068041000</v>
      </c>
      <c r="K328" t="str">
        <f>""</f>
        <v/>
      </c>
      <c r="M328" t="s">
        <v>68</v>
      </c>
      <c r="N328" t="str">
        <f t="shared" si="39"/>
        <v>FOR</v>
      </c>
      <c r="O328" t="s">
        <v>69</v>
      </c>
      <c r="P328" t="s">
        <v>75</v>
      </c>
      <c r="Q328">
        <v>2016</v>
      </c>
      <c r="R328" s="4">
        <v>42452</v>
      </c>
      <c r="S328" s="2">
        <v>42642</v>
      </c>
      <c r="T328" s="2">
        <v>42641</v>
      </c>
      <c r="U328" s="4">
        <v>42701</v>
      </c>
      <c r="V328" t="s">
        <v>71</v>
      </c>
      <c r="W328" t="str">
        <f>"            21605181"</f>
        <v xml:space="preserve">            21605181</v>
      </c>
      <c r="X328">
        <v>854</v>
      </c>
      <c r="Y328">
        <v>0</v>
      </c>
      <c r="Z328" s="5">
        <v>700</v>
      </c>
      <c r="AA328" s="3">
        <v>67</v>
      </c>
      <c r="AB328" s="5">
        <v>46900</v>
      </c>
      <c r="AC328">
        <v>700</v>
      </c>
      <c r="AD328">
        <v>67</v>
      </c>
      <c r="AE328" s="1">
        <v>46900</v>
      </c>
      <c r="AF328">
        <v>0</v>
      </c>
      <c r="AJ328">
        <v>0</v>
      </c>
      <c r="AK328">
        <v>0</v>
      </c>
      <c r="AL328">
        <v>0</v>
      </c>
      <c r="AM328">
        <v>0</v>
      </c>
      <c r="AN328">
        <v>0</v>
      </c>
      <c r="AO328">
        <v>0</v>
      </c>
      <c r="AP328" s="2">
        <v>42831</v>
      </c>
      <c r="AQ328" t="s">
        <v>72</v>
      </c>
      <c r="AR328" t="s">
        <v>72</v>
      </c>
      <c r="AS328">
        <v>206</v>
      </c>
      <c r="AT328" s="4">
        <v>42768</v>
      </c>
      <c r="AU328" t="s">
        <v>73</v>
      </c>
      <c r="AV328">
        <v>206</v>
      </c>
      <c r="AW328" s="4">
        <v>42768</v>
      </c>
      <c r="BD328">
        <v>0</v>
      </c>
      <c r="BN328" t="s">
        <v>74</v>
      </c>
    </row>
    <row r="329" spans="1:66">
      <c r="A329">
        <v>100294</v>
      </c>
      <c r="B329" t="s">
        <v>128</v>
      </c>
      <c r="C329" s="1">
        <v>43300101</v>
      </c>
      <c r="D329" t="s">
        <v>67</v>
      </c>
      <c r="H329" t="str">
        <f t="shared" si="40"/>
        <v>06068041000</v>
      </c>
      <c r="I329" t="str">
        <f t="shared" si="40"/>
        <v>06068041000</v>
      </c>
      <c r="K329" t="str">
        <f>""</f>
        <v/>
      </c>
      <c r="M329" t="s">
        <v>68</v>
      </c>
      <c r="N329" t="str">
        <f t="shared" si="39"/>
        <v>FOR</v>
      </c>
      <c r="O329" t="s">
        <v>69</v>
      </c>
      <c r="P329" t="s">
        <v>75</v>
      </c>
      <c r="Q329">
        <v>2016</v>
      </c>
      <c r="R329" s="4">
        <v>42481</v>
      </c>
      <c r="S329" s="2">
        <v>42642</v>
      </c>
      <c r="T329" s="2">
        <v>42641</v>
      </c>
      <c r="U329" s="4">
        <v>42701</v>
      </c>
      <c r="V329" t="s">
        <v>71</v>
      </c>
      <c r="W329" t="str">
        <f>"            21607039"</f>
        <v xml:space="preserve">            21607039</v>
      </c>
      <c r="X329" s="1">
        <v>3294</v>
      </c>
      <c r="Y329">
        <v>0</v>
      </c>
      <c r="Z329" s="5">
        <v>2700</v>
      </c>
      <c r="AA329" s="3">
        <v>78</v>
      </c>
      <c r="AB329" s="5">
        <v>210600</v>
      </c>
      <c r="AC329" s="1">
        <v>2700</v>
      </c>
      <c r="AD329">
        <v>78</v>
      </c>
      <c r="AE329" s="1">
        <v>210600</v>
      </c>
      <c r="AF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0</v>
      </c>
      <c r="AP329" s="2">
        <v>42831</v>
      </c>
      <c r="AQ329" t="s">
        <v>72</v>
      </c>
      <c r="AR329" t="s">
        <v>72</v>
      </c>
      <c r="AS329">
        <v>422</v>
      </c>
      <c r="AT329" s="4">
        <v>42779</v>
      </c>
      <c r="AU329" t="s">
        <v>73</v>
      </c>
      <c r="AV329">
        <v>422</v>
      </c>
      <c r="AW329" s="4">
        <v>42779</v>
      </c>
      <c r="BD329">
        <v>0</v>
      </c>
      <c r="BN329" t="s">
        <v>74</v>
      </c>
    </row>
    <row r="330" spans="1:66">
      <c r="A330">
        <v>100294</v>
      </c>
      <c r="B330" t="s">
        <v>128</v>
      </c>
      <c r="C330" s="1">
        <v>43300101</v>
      </c>
      <c r="D330" t="s">
        <v>67</v>
      </c>
      <c r="H330" t="str">
        <f t="shared" si="40"/>
        <v>06068041000</v>
      </c>
      <c r="I330" t="str">
        <f t="shared" si="40"/>
        <v>06068041000</v>
      </c>
      <c r="K330" t="str">
        <f>""</f>
        <v/>
      </c>
      <c r="M330" t="s">
        <v>68</v>
      </c>
      <c r="N330" t="str">
        <f t="shared" si="39"/>
        <v>FOR</v>
      </c>
      <c r="O330" t="s">
        <v>69</v>
      </c>
      <c r="P330" t="s">
        <v>75</v>
      </c>
      <c r="Q330">
        <v>2016</v>
      </c>
      <c r="R330" s="4">
        <v>42482</v>
      </c>
      <c r="S330" s="2">
        <v>42642</v>
      </c>
      <c r="T330" s="2">
        <v>42641</v>
      </c>
      <c r="U330" s="4">
        <v>42701</v>
      </c>
      <c r="V330" t="s">
        <v>71</v>
      </c>
      <c r="W330" t="str">
        <f>"            21607207"</f>
        <v xml:space="preserve">            21607207</v>
      </c>
      <c r="X330" s="1">
        <v>3660</v>
      </c>
      <c r="Y330">
        <v>0</v>
      </c>
      <c r="Z330" s="5">
        <v>3000</v>
      </c>
      <c r="AA330" s="3">
        <v>78</v>
      </c>
      <c r="AB330" s="5">
        <v>234000</v>
      </c>
      <c r="AC330" s="1">
        <v>3000</v>
      </c>
      <c r="AD330">
        <v>78</v>
      </c>
      <c r="AE330" s="1">
        <v>234000</v>
      </c>
      <c r="AF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 s="2">
        <v>42831</v>
      </c>
      <c r="AQ330" t="s">
        <v>72</v>
      </c>
      <c r="AR330" t="s">
        <v>72</v>
      </c>
      <c r="AS330">
        <v>422</v>
      </c>
      <c r="AT330" s="4">
        <v>42779</v>
      </c>
      <c r="AU330" t="s">
        <v>73</v>
      </c>
      <c r="AV330">
        <v>422</v>
      </c>
      <c r="AW330" s="4">
        <v>42779</v>
      </c>
      <c r="BD330">
        <v>0</v>
      </c>
      <c r="BN330" t="s">
        <v>74</v>
      </c>
    </row>
    <row r="331" spans="1:66">
      <c r="A331">
        <v>100294</v>
      </c>
      <c r="B331" t="s">
        <v>128</v>
      </c>
      <c r="C331" s="1">
        <v>43300101</v>
      </c>
      <c r="D331" t="s">
        <v>67</v>
      </c>
      <c r="H331" t="str">
        <f t="shared" si="40"/>
        <v>06068041000</v>
      </c>
      <c r="I331" t="str">
        <f t="shared" si="40"/>
        <v>06068041000</v>
      </c>
      <c r="K331" t="str">
        <f>""</f>
        <v/>
      </c>
      <c r="M331" t="s">
        <v>68</v>
      </c>
      <c r="N331" t="str">
        <f t="shared" si="39"/>
        <v>FOR</v>
      </c>
      <c r="O331" t="s">
        <v>69</v>
      </c>
      <c r="P331" t="s">
        <v>75</v>
      </c>
      <c r="Q331">
        <v>2016</v>
      </c>
      <c r="R331" s="4">
        <v>42488</v>
      </c>
      <c r="S331" s="2">
        <v>42642</v>
      </c>
      <c r="T331" s="2">
        <v>42641</v>
      </c>
      <c r="U331" s="4">
        <v>42701</v>
      </c>
      <c r="V331" t="s">
        <v>71</v>
      </c>
      <c r="W331" t="str">
        <f>"            21607421"</f>
        <v xml:space="preserve">            21607421</v>
      </c>
      <c r="X331" s="1">
        <v>2440</v>
      </c>
      <c r="Y331">
        <v>0</v>
      </c>
      <c r="Z331" s="5">
        <v>2000</v>
      </c>
      <c r="AA331" s="3">
        <v>78</v>
      </c>
      <c r="AB331" s="5">
        <v>156000</v>
      </c>
      <c r="AC331" s="1">
        <v>2000</v>
      </c>
      <c r="AD331">
        <v>78</v>
      </c>
      <c r="AE331" s="1">
        <v>156000</v>
      </c>
      <c r="AF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 s="2">
        <v>42831</v>
      </c>
      <c r="AQ331" t="s">
        <v>72</v>
      </c>
      <c r="AR331" t="s">
        <v>72</v>
      </c>
      <c r="AS331">
        <v>422</v>
      </c>
      <c r="AT331" s="4">
        <v>42779</v>
      </c>
      <c r="AU331" t="s">
        <v>73</v>
      </c>
      <c r="AV331">
        <v>422</v>
      </c>
      <c r="AW331" s="4">
        <v>42779</v>
      </c>
      <c r="BD331">
        <v>0</v>
      </c>
      <c r="BN331" t="s">
        <v>74</v>
      </c>
    </row>
    <row r="332" spans="1:66">
      <c r="A332">
        <v>100308</v>
      </c>
      <c r="B332" t="s">
        <v>129</v>
      </c>
      <c r="C332" s="1">
        <v>43300101</v>
      </c>
      <c r="D332" t="s">
        <v>67</v>
      </c>
      <c r="H332" t="str">
        <f t="shared" ref="H332:I334" si="41">"02461070043"</f>
        <v>02461070043</v>
      </c>
      <c r="I332" t="str">
        <f t="shared" si="41"/>
        <v>02461070043</v>
      </c>
      <c r="K332" t="str">
        <f>""</f>
        <v/>
      </c>
      <c r="M332" t="s">
        <v>68</v>
      </c>
      <c r="N332" t="str">
        <f t="shared" si="39"/>
        <v>FOR</v>
      </c>
      <c r="O332" t="s">
        <v>69</v>
      </c>
      <c r="P332" t="s">
        <v>75</v>
      </c>
      <c r="Q332">
        <v>2016</v>
      </c>
      <c r="R332" s="4">
        <v>42643</v>
      </c>
      <c r="S332" s="2">
        <v>42646</v>
      </c>
      <c r="T332" s="2">
        <v>42646</v>
      </c>
      <c r="U332" s="4">
        <v>42706</v>
      </c>
      <c r="V332" t="s">
        <v>71</v>
      </c>
      <c r="W332" t="str">
        <f>"           209/E2016"</f>
        <v xml:space="preserve">           209/E2016</v>
      </c>
      <c r="X332" s="1">
        <v>2562</v>
      </c>
      <c r="Y332">
        <v>0</v>
      </c>
      <c r="Z332" s="5">
        <v>2100</v>
      </c>
      <c r="AA332" s="3">
        <v>95</v>
      </c>
      <c r="AB332" s="5">
        <v>199500</v>
      </c>
      <c r="AC332" s="1">
        <v>2100</v>
      </c>
      <c r="AD332">
        <v>95</v>
      </c>
      <c r="AE332" s="1">
        <v>199500</v>
      </c>
      <c r="AF332">
        <v>462</v>
      </c>
      <c r="AJ332">
        <v>0</v>
      </c>
      <c r="AK332">
        <v>0</v>
      </c>
      <c r="AL332">
        <v>0</v>
      </c>
      <c r="AM332">
        <v>0</v>
      </c>
      <c r="AN332">
        <v>0</v>
      </c>
      <c r="AO332">
        <v>0</v>
      </c>
      <c r="AP332" s="2">
        <v>42831</v>
      </c>
      <c r="AQ332" t="s">
        <v>72</v>
      </c>
      <c r="AR332" t="s">
        <v>72</v>
      </c>
      <c r="AS332">
        <v>746</v>
      </c>
      <c r="AT332" s="4">
        <v>42801</v>
      </c>
      <c r="AU332" t="s">
        <v>73</v>
      </c>
      <c r="AV332">
        <v>746</v>
      </c>
      <c r="AW332" s="4">
        <v>42801</v>
      </c>
      <c r="BA332">
        <v>462</v>
      </c>
      <c r="BD332">
        <v>0</v>
      </c>
      <c r="BN332" t="s">
        <v>74</v>
      </c>
    </row>
    <row r="333" spans="1:66">
      <c r="A333">
        <v>100308</v>
      </c>
      <c r="B333" t="s">
        <v>129</v>
      </c>
      <c r="C333" s="1">
        <v>43300101</v>
      </c>
      <c r="D333" t="s">
        <v>67</v>
      </c>
      <c r="H333" t="str">
        <f t="shared" si="41"/>
        <v>02461070043</v>
      </c>
      <c r="I333" t="str">
        <f t="shared" si="41"/>
        <v>02461070043</v>
      </c>
      <c r="K333" t="str">
        <f>""</f>
        <v/>
      </c>
      <c r="M333" t="s">
        <v>68</v>
      </c>
      <c r="N333" t="str">
        <f t="shared" si="39"/>
        <v>FOR</v>
      </c>
      <c r="O333" t="s">
        <v>69</v>
      </c>
      <c r="P333" t="s">
        <v>75</v>
      </c>
      <c r="Q333">
        <v>2016</v>
      </c>
      <c r="R333" s="4">
        <v>42671</v>
      </c>
      <c r="S333" s="2">
        <v>42678</v>
      </c>
      <c r="T333" s="2">
        <v>42676</v>
      </c>
      <c r="U333" s="4">
        <v>42736</v>
      </c>
      <c r="V333" t="s">
        <v>71</v>
      </c>
      <c r="W333" t="str">
        <f>"           230/E2016"</f>
        <v xml:space="preserve">           230/E2016</v>
      </c>
      <c r="X333">
        <v>488</v>
      </c>
      <c r="Y333">
        <v>0</v>
      </c>
      <c r="Z333" s="5">
        <v>400</v>
      </c>
      <c r="AA333" s="3">
        <v>65</v>
      </c>
      <c r="AB333" s="5">
        <v>26000</v>
      </c>
      <c r="AC333">
        <v>400</v>
      </c>
      <c r="AD333">
        <v>65</v>
      </c>
      <c r="AE333" s="1">
        <v>26000</v>
      </c>
      <c r="AF333">
        <v>88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0</v>
      </c>
      <c r="AP333" s="2">
        <v>42831</v>
      </c>
      <c r="AQ333" t="s">
        <v>72</v>
      </c>
      <c r="AR333" t="s">
        <v>72</v>
      </c>
      <c r="AS333">
        <v>746</v>
      </c>
      <c r="AT333" s="4">
        <v>42801</v>
      </c>
      <c r="AU333" t="s">
        <v>73</v>
      </c>
      <c r="AV333">
        <v>746</v>
      </c>
      <c r="AW333" s="4">
        <v>42801</v>
      </c>
      <c r="AZ333">
        <v>88</v>
      </c>
      <c r="BD333">
        <v>0</v>
      </c>
      <c r="BN333" t="s">
        <v>74</v>
      </c>
    </row>
    <row r="334" spans="1:66">
      <c r="A334">
        <v>100308</v>
      </c>
      <c r="B334" t="s">
        <v>129</v>
      </c>
      <c r="C334" s="1">
        <v>43300101</v>
      </c>
      <c r="D334" t="s">
        <v>67</v>
      </c>
      <c r="H334" t="str">
        <f t="shared" si="41"/>
        <v>02461070043</v>
      </c>
      <c r="I334" t="str">
        <f t="shared" si="41"/>
        <v>02461070043</v>
      </c>
      <c r="K334" t="str">
        <f>""</f>
        <v/>
      </c>
      <c r="M334" t="s">
        <v>68</v>
      </c>
      <c r="N334" t="str">
        <f t="shared" si="39"/>
        <v>FOR</v>
      </c>
      <c r="O334" t="s">
        <v>69</v>
      </c>
      <c r="P334" t="s">
        <v>75</v>
      </c>
      <c r="Q334">
        <v>2016</v>
      </c>
      <c r="R334" s="4">
        <v>42724</v>
      </c>
      <c r="S334" s="2">
        <v>42727</v>
      </c>
      <c r="T334" s="2">
        <v>42724</v>
      </c>
      <c r="U334" s="4">
        <v>42784</v>
      </c>
      <c r="V334" t="s">
        <v>71</v>
      </c>
      <c r="W334" t="str">
        <f>"           260/E2016"</f>
        <v xml:space="preserve">           260/E2016</v>
      </c>
      <c r="X334">
        <v>976</v>
      </c>
      <c r="Y334">
        <v>0</v>
      </c>
      <c r="Z334" s="5">
        <v>800</v>
      </c>
      <c r="AA334" s="3">
        <v>17</v>
      </c>
      <c r="AB334" s="5">
        <v>13600</v>
      </c>
      <c r="AC334">
        <v>800</v>
      </c>
      <c r="AD334">
        <v>17</v>
      </c>
      <c r="AE334" s="1">
        <v>13600</v>
      </c>
      <c r="AF334">
        <v>176</v>
      </c>
      <c r="AJ334">
        <v>0</v>
      </c>
      <c r="AK334">
        <v>0</v>
      </c>
      <c r="AL334">
        <v>0</v>
      </c>
      <c r="AM334">
        <v>0</v>
      </c>
      <c r="AN334">
        <v>0</v>
      </c>
      <c r="AO334">
        <v>0</v>
      </c>
      <c r="AP334" s="2">
        <v>42831</v>
      </c>
      <c r="AQ334" t="s">
        <v>72</v>
      </c>
      <c r="AR334" t="s">
        <v>72</v>
      </c>
      <c r="AS334">
        <v>746</v>
      </c>
      <c r="AT334" s="4">
        <v>42801</v>
      </c>
      <c r="AU334" t="s">
        <v>73</v>
      </c>
      <c r="AV334">
        <v>746</v>
      </c>
      <c r="AW334" s="4">
        <v>42801</v>
      </c>
      <c r="AY334">
        <v>176</v>
      </c>
      <c r="BD334">
        <v>0</v>
      </c>
      <c r="BN334" t="s">
        <v>74</v>
      </c>
    </row>
    <row r="335" spans="1:66">
      <c r="A335">
        <v>100309</v>
      </c>
      <c r="B335" t="s">
        <v>130</v>
      </c>
      <c r="C335" s="1">
        <v>43300101</v>
      </c>
      <c r="D335" t="s">
        <v>67</v>
      </c>
      <c r="H335" t="str">
        <f t="shared" ref="H335:I338" si="42">"00311430375"</f>
        <v>00311430375</v>
      </c>
      <c r="I335" t="str">
        <f t="shared" si="42"/>
        <v>00311430375</v>
      </c>
      <c r="K335" t="str">
        <f>""</f>
        <v/>
      </c>
      <c r="M335" t="s">
        <v>68</v>
      </c>
      <c r="N335" t="str">
        <f t="shared" si="39"/>
        <v>FOR</v>
      </c>
      <c r="O335" t="s">
        <v>69</v>
      </c>
      <c r="P335" t="s">
        <v>75</v>
      </c>
      <c r="Q335">
        <v>2016</v>
      </c>
      <c r="R335" s="4">
        <v>42613</v>
      </c>
      <c r="S335" s="2">
        <v>42621</v>
      </c>
      <c r="T335" s="2">
        <v>42620</v>
      </c>
      <c r="U335" s="4">
        <v>42680</v>
      </c>
      <c r="V335" t="s">
        <v>71</v>
      </c>
      <c r="W335" t="str">
        <f>"            16360532"</f>
        <v xml:space="preserve">            16360532</v>
      </c>
      <c r="X335" s="1">
        <v>1742.16</v>
      </c>
      <c r="Y335">
        <v>0</v>
      </c>
      <c r="Z335" s="5">
        <v>1428</v>
      </c>
      <c r="AA335" s="3">
        <v>88</v>
      </c>
      <c r="AB335" s="5">
        <v>125664</v>
      </c>
      <c r="AC335" s="1">
        <v>1428</v>
      </c>
      <c r="AD335">
        <v>88</v>
      </c>
      <c r="AE335" s="1">
        <v>125664</v>
      </c>
      <c r="AF335">
        <v>0</v>
      </c>
      <c r="AJ335">
        <v>0</v>
      </c>
      <c r="AK335">
        <v>0</v>
      </c>
      <c r="AL335">
        <v>0</v>
      </c>
      <c r="AM335">
        <v>0</v>
      </c>
      <c r="AN335">
        <v>0</v>
      </c>
      <c r="AO335">
        <v>0</v>
      </c>
      <c r="AP335" s="2">
        <v>42831</v>
      </c>
      <c r="AQ335" t="s">
        <v>72</v>
      </c>
      <c r="AR335" t="s">
        <v>72</v>
      </c>
      <c r="AS335">
        <v>241</v>
      </c>
      <c r="AT335" s="4">
        <v>42768</v>
      </c>
      <c r="AU335" t="s">
        <v>73</v>
      </c>
      <c r="AV335">
        <v>241</v>
      </c>
      <c r="AW335" s="4">
        <v>42768</v>
      </c>
      <c r="BD335">
        <v>0</v>
      </c>
      <c r="BN335" t="s">
        <v>74</v>
      </c>
    </row>
    <row r="336" spans="1:66">
      <c r="A336">
        <v>100309</v>
      </c>
      <c r="B336" t="s">
        <v>130</v>
      </c>
      <c r="C336" s="1">
        <v>43300101</v>
      </c>
      <c r="D336" t="s">
        <v>67</v>
      </c>
      <c r="H336" t="str">
        <f t="shared" si="42"/>
        <v>00311430375</v>
      </c>
      <c r="I336" t="str">
        <f t="shared" si="42"/>
        <v>00311430375</v>
      </c>
      <c r="K336" t="str">
        <f>""</f>
        <v/>
      </c>
      <c r="M336" t="s">
        <v>68</v>
      </c>
      <c r="N336" t="str">
        <f t="shared" si="39"/>
        <v>FOR</v>
      </c>
      <c r="O336" t="s">
        <v>69</v>
      </c>
      <c r="P336" t="s">
        <v>75</v>
      </c>
      <c r="Q336">
        <v>2016</v>
      </c>
      <c r="R336" s="4">
        <v>42613</v>
      </c>
      <c r="S336" s="2">
        <v>42621</v>
      </c>
      <c r="T336" s="2">
        <v>42620</v>
      </c>
      <c r="U336" s="4">
        <v>42680</v>
      </c>
      <c r="V336" t="s">
        <v>71</v>
      </c>
      <c r="W336" t="str">
        <f>"            16360534"</f>
        <v xml:space="preserve">            16360534</v>
      </c>
      <c r="X336" s="1">
        <v>9882</v>
      </c>
      <c r="Y336">
        <v>0</v>
      </c>
      <c r="Z336" s="5">
        <v>8100</v>
      </c>
      <c r="AA336" s="3">
        <v>88</v>
      </c>
      <c r="AB336" s="5">
        <v>712800</v>
      </c>
      <c r="AC336" s="1">
        <v>8100</v>
      </c>
      <c r="AD336">
        <v>88</v>
      </c>
      <c r="AE336" s="1">
        <v>712800</v>
      </c>
      <c r="AF336">
        <v>0</v>
      </c>
      <c r="AJ336">
        <v>0</v>
      </c>
      <c r="AK336">
        <v>0</v>
      </c>
      <c r="AL336">
        <v>0</v>
      </c>
      <c r="AM336">
        <v>0</v>
      </c>
      <c r="AN336">
        <v>0</v>
      </c>
      <c r="AO336">
        <v>0</v>
      </c>
      <c r="AP336" s="2">
        <v>42831</v>
      </c>
      <c r="AQ336" t="s">
        <v>72</v>
      </c>
      <c r="AR336" t="s">
        <v>72</v>
      </c>
      <c r="AS336">
        <v>241</v>
      </c>
      <c r="AT336" s="4">
        <v>42768</v>
      </c>
      <c r="AU336" t="s">
        <v>73</v>
      </c>
      <c r="AV336">
        <v>241</v>
      </c>
      <c r="AW336" s="4">
        <v>42768</v>
      </c>
      <c r="BD336">
        <v>0</v>
      </c>
      <c r="BN336" t="s">
        <v>74</v>
      </c>
    </row>
    <row r="337" spans="1:66">
      <c r="A337">
        <v>100309</v>
      </c>
      <c r="B337" t="s">
        <v>130</v>
      </c>
      <c r="C337" s="1">
        <v>43300101</v>
      </c>
      <c r="D337" t="s">
        <v>67</v>
      </c>
      <c r="H337" t="str">
        <f t="shared" si="42"/>
        <v>00311430375</v>
      </c>
      <c r="I337" t="str">
        <f t="shared" si="42"/>
        <v>00311430375</v>
      </c>
      <c r="K337" t="str">
        <f>""</f>
        <v/>
      </c>
      <c r="M337" t="s">
        <v>68</v>
      </c>
      <c r="N337" t="str">
        <f t="shared" si="39"/>
        <v>FOR</v>
      </c>
      <c r="O337" t="s">
        <v>69</v>
      </c>
      <c r="P337" t="s">
        <v>75</v>
      </c>
      <c r="Q337">
        <v>2016</v>
      </c>
      <c r="R337" s="4">
        <v>42643</v>
      </c>
      <c r="S337" s="2">
        <v>42655</v>
      </c>
      <c r="T337" s="2">
        <v>42655</v>
      </c>
      <c r="U337" s="4">
        <v>42715</v>
      </c>
      <c r="V337" t="s">
        <v>71</v>
      </c>
      <c r="W337" t="str">
        <f>"            16360636"</f>
        <v xml:space="preserve">            16360636</v>
      </c>
      <c r="X337">
        <v>170.8</v>
      </c>
      <c r="Y337">
        <v>0</v>
      </c>
      <c r="Z337" s="5">
        <v>140</v>
      </c>
      <c r="AA337" s="3">
        <v>78</v>
      </c>
      <c r="AB337" s="5">
        <v>10920</v>
      </c>
      <c r="AC337">
        <v>140</v>
      </c>
      <c r="AD337">
        <v>78</v>
      </c>
      <c r="AE337" s="1">
        <v>10920</v>
      </c>
      <c r="AF337">
        <v>0</v>
      </c>
      <c r="AJ337">
        <v>0</v>
      </c>
      <c r="AK337">
        <v>0</v>
      </c>
      <c r="AL337">
        <v>0</v>
      </c>
      <c r="AM337">
        <v>0</v>
      </c>
      <c r="AN337">
        <v>0</v>
      </c>
      <c r="AO337">
        <v>0</v>
      </c>
      <c r="AP337" s="2">
        <v>42831</v>
      </c>
      <c r="AQ337" t="s">
        <v>72</v>
      </c>
      <c r="AR337" t="s">
        <v>72</v>
      </c>
      <c r="AS337">
        <v>624</v>
      </c>
      <c r="AT337" s="4">
        <v>42793</v>
      </c>
      <c r="AU337" t="s">
        <v>73</v>
      </c>
      <c r="AV337">
        <v>624</v>
      </c>
      <c r="AW337" s="4">
        <v>42793</v>
      </c>
      <c r="BD337">
        <v>0</v>
      </c>
      <c r="BN337" t="s">
        <v>74</v>
      </c>
    </row>
    <row r="338" spans="1:66">
      <c r="A338">
        <v>100309</v>
      </c>
      <c r="B338" t="s">
        <v>130</v>
      </c>
      <c r="C338" s="1">
        <v>43300101</v>
      </c>
      <c r="D338" t="s">
        <v>67</v>
      </c>
      <c r="H338" t="str">
        <f t="shared" si="42"/>
        <v>00311430375</v>
      </c>
      <c r="I338" t="str">
        <f t="shared" si="42"/>
        <v>00311430375</v>
      </c>
      <c r="K338" t="str">
        <f>""</f>
        <v/>
      </c>
      <c r="M338" t="s">
        <v>68</v>
      </c>
      <c r="N338" t="str">
        <f t="shared" si="39"/>
        <v>FOR</v>
      </c>
      <c r="O338" t="s">
        <v>69</v>
      </c>
      <c r="P338" t="s">
        <v>75</v>
      </c>
      <c r="Q338">
        <v>2016</v>
      </c>
      <c r="R338" s="4">
        <v>42643</v>
      </c>
      <c r="S338" s="2">
        <v>42655</v>
      </c>
      <c r="T338" s="2">
        <v>42655</v>
      </c>
      <c r="U338" s="4">
        <v>42715</v>
      </c>
      <c r="V338" t="s">
        <v>71</v>
      </c>
      <c r="W338" t="str">
        <f>"            16360637"</f>
        <v xml:space="preserve">            16360637</v>
      </c>
      <c r="X338" s="1">
        <v>2196</v>
      </c>
      <c r="Y338">
        <v>0</v>
      </c>
      <c r="Z338" s="5">
        <v>1800</v>
      </c>
      <c r="AA338" s="3">
        <v>78</v>
      </c>
      <c r="AB338" s="5">
        <v>140400</v>
      </c>
      <c r="AC338" s="1">
        <v>1800</v>
      </c>
      <c r="AD338">
        <v>78</v>
      </c>
      <c r="AE338" s="1">
        <v>140400</v>
      </c>
      <c r="AF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0</v>
      </c>
      <c r="AP338" s="2">
        <v>42831</v>
      </c>
      <c r="AQ338" t="s">
        <v>72</v>
      </c>
      <c r="AR338" t="s">
        <v>72</v>
      </c>
      <c r="AS338">
        <v>624</v>
      </c>
      <c r="AT338" s="4">
        <v>42793</v>
      </c>
      <c r="AU338" t="s">
        <v>73</v>
      </c>
      <c r="AV338">
        <v>624</v>
      </c>
      <c r="AW338" s="4">
        <v>42793</v>
      </c>
      <c r="BD338">
        <v>0</v>
      </c>
      <c r="BN338" t="s">
        <v>74</v>
      </c>
    </row>
    <row r="339" spans="1:66">
      <c r="A339">
        <v>100325</v>
      </c>
      <c r="B339" t="s">
        <v>131</v>
      </c>
      <c r="C339" s="1">
        <v>43300101</v>
      </c>
      <c r="D339" t="s">
        <v>67</v>
      </c>
      <c r="H339" t="str">
        <f>"00182080622"</f>
        <v>00182080622</v>
      </c>
      <c r="I339" t="str">
        <f>"00182080622"</f>
        <v>00182080622</v>
      </c>
      <c r="K339" t="str">
        <f>""</f>
        <v/>
      </c>
      <c r="M339" t="s">
        <v>68</v>
      </c>
      <c r="N339" t="str">
        <f t="shared" si="39"/>
        <v>FOR</v>
      </c>
      <c r="O339" t="s">
        <v>69</v>
      </c>
      <c r="P339" t="s">
        <v>75</v>
      </c>
      <c r="Q339">
        <v>2016</v>
      </c>
      <c r="R339" s="4">
        <v>42720</v>
      </c>
      <c r="S339" s="2">
        <v>42723</v>
      </c>
      <c r="T339" s="2">
        <v>42720</v>
      </c>
      <c r="U339" s="4">
        <v>42780</v>
      </c>
      <c r="V339" t="s">
        <v>71</v>
      </c>
      <c r="W339" t="str">
        <f>"               75/01"</f>
        <v xml:space="preserve">               75/01</v>
      </c>
      <c r="X339" s="1">
        <v>7564</v>
      </c>
      <c r="Y339">
        <v>0</v>
      </c>
      <c r="Z339" s="5">
        <v>6200</v>
      </c>
      <c r="AA339" s="3">
        <v>13</v>
      </c>
      <c r="AB339" s="5">
        <v>80600</v>
      </c>
      <c r="AC339" s="1">
        <v>6200</v>
      </c>
      <c r="AD339">
        <v>13</v>
      </c>
      <c r="AE339" s="1">
        <v>80600</v>
      </c>
      <c r="AF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 s="2">
        <v>42831</v>
      </c>
      <c r="AQ339" t="s">
        <v>72</v>
      </c>
      <c r="AR339" t="s">
        <v>72</v>
      </c>
      <c r="AS339">
        <v>616</v>
      </c>
      <c r="AT339" s="4">
        <v>42793</v>
      </c>
      <c r="AU339" t="s">
        <v>73</v>
      </c>
      <c r="AV339">
        <v>616</v>
      </c>
      <c r="AW339" s="4">
        <v>42793</v>
      </c>
      <c r="BD339">
        <v>0</v>
      </c>
      <c r="BN339" t="s">
        <v>74</v>
      </c>
    </row>
    <row r="340" spans="1:66">
      <c r="A340">
        <v>100325</v>
      </c>
      <c r="B340" t="s">
        <v>131</v>
      </c>
      <c r="C340" s="1">
        <v>43300101</v>
      </c>
      <c r="D340" t="s">
        <v>67</v>
      </c>
      <c r="H340" t="str">
        <f>"00182080622"</f>
        <v>00182080622</v>
      </c>
      <c r="I340" t="str">
        <f>"00182080622"</f>
        <v>00182080622</v>
      </c>
      <c r="K340" t="str">
        <f>""</f>
        <v/>
      </c>
      <c r="M340" t="s">
        <v>68</v>
      </c>
      <c r="N340" t="str">
        <f t="shared" si="39"/>
        <v>FOR</v>
      </c>
      <c r="O340" t="s">
        <v>69</v>
      </c>
      <c r="P340" t="s">
        <v>75</v>
      </c>
      <c r="Q340">
        <v>2016</v>
      </c>
      <c r="R340" s="4">
        <v>42725</v>
      </c>
      <c r="S340" s="2">
        <v>42727</v>
      </c>
      <c r="T340" s="2">
        <v>42725</v>
      </c>
      <c r="U340" s="4">
        <v>42785</v>
      </c>
      <c r="V340" t="s">
        <v>71</v>
      </c>
      <c r="W340" t="str">
        <f>"               76/01"</f>
        <v xml:space="preserve">               76/01</v>
      </c>
      <c r="X340">
        <v>854</v>
      </c>
      <c r="Y340">
        <v>0</v>
      </c>
      <c r="Z340" s="5">
        <v>700</v>
      </c>
      <c r="AA340" s="3">
        <v>8</v>
      </c>
      <c r="AB340" s="5">
        <v>5600</v>
      </c>
      <c r="AC340">
        <v>700</v>
      </c>
      <c r="AD340">
        <v>8</v>
      </c>
      <c r="AE340" s="1">
        <v>5600</v>
      </c>
      <c r="AF340">
        <v>0</v>
      </c>
      <c r="AJ340">
        <v>0</v>
      </c>
      <c r="AK340">
        <v>0</v>
      </c>
      <c r="AL340">
        <v>0</v>
      </c>
      <c r="AM340">
        <v>0</v>
      </c>
      <c r="AN340">
        <v>0</v>
      </c>
      <c r="AO340">
        <v>0</v>
      </c>
      <c r="AP340" s="2">
        <v>42831</v>
      </c>
      <c r="AQ340" t="s">
        <v>72</v>
      </c>
      <c r="AR340" t="s">
        <v>72</v>
      </c>
      <c r="AS340">
        <v>616</v>
      </c>
      <c r="AT340" s="4">
        <v>42793</v>
      </c>
      <c r="AU340" t="s">
        <v>73</v>
      </c>
      <c r="AV340">
        <v>616</v>
      </c>
      <c r="AW340" s="4">
        <v>42793</v>
      </c>
      <c r="BD340">
        <v>0</v>
      </c>
      <c r="BN340" t="s">
        <v>74</v>
      </c>
    </row>
    <row r="341" spans="1:66">
      <c r="A341">
        <v>100331</v>
      </c>
      <c r="B341" t="s">
        <v>132</v>
      </c>
      <c r="C341" s="1">
        <v>43500101</v>
      </c>
      <c r="D341" t="s">
        <v>98</v>
      </c>
      <c r="H341" t="str">
        <f>"BSCGMR71R19A783O"</f>
        <v>BSCGMR71R19A783O</v>
      </c>
      <c r="I341" t="str">
        <f>"01180840629"</f>
        <v>01180840629</v>
      </c>
      <c r="K341" t="str">
        <f>""</f>
        <v/>
      </c>
      <c r="M341" t="s">
        <v>68</v>
      </c>
      <c r="N341" t="str">
        <f>"ALTPRO"</f>
        <v>ALTPRO</v>
      </c>
      <c r="O341" t="s">
        <v>116</v>
      </c>
      <c r="P341" t="s">
        <v>75</v>
      </c>
      <c r="Q341">
        <v>2017</v>
      </c>
      <c r="R341" s="4">
        <v>42775</v>
      </c>
      <c r="S341" s="2">
        <v>42776</v>
      </c>
      <c r="T341" s="2">
        <v>42775</v>
      </c>
      <c r="U341" s="4">
        <v>42835</v>
      </c>
      <c r="V341" t="s">
        <v>71</v>
      </c>
      <c r="W341" t="str">
        <f>"                 01E"</f>
        <v xml:space="preserve">                 01E</v>
      </c>
      <c r="X341" s="1">
        <v>2610.4</v>
      </c>
      <c r="Y341">
        <v>-386.4</v>
      </c>
      <c r="Z341" s="5">
        <v>2224</v>
      </c>
      <c r="AA341" s="3">
        <v>-42</v>
      </c>
      <c r="AB341" s="5">
        <v>-93408</v>
      </c>
      <c r="AC341" s="1">
        <v>2224</v>
      </c>
      <c r="AD341">
        <v>-42</v>
      </c>
      <c r="AE341" s="1">
        <v>-93408</v>
      </c>
      <c r="AF341">
        <v>0</v>
      </c>
      <c r="AJ341" s="1">
        <v>2224</v>
      </c>
      <c r="AK341" s="1">
        <v>2224</v>
      </c>
      <c r="AL341" s="1">
        <v>2224</v>
      </c>
      <c r="AM341" s="1">
        <v>2224</v>
      </c>
      <c r="AN341" s="1">
        <v>2224</v>
      </c>
      <c r="AO341" s="1">
        <v>2224</v>
      </c>
      <c r="AP341" s="2">
        <v>42831</v>
      </c>
      <c r="AQ341" t="s">
        <v>72</v>
      </c>
      <c r="AR341" t="s">
        <v>72</v>
      </c>
      <c r="AS341">
        <v>601</v>
      </c>
      <c r="AT341" s="4">
        <v>42793</v>
      </c>
      <c r="AV341">
        <v>601</v>
      </c>
      <c r="AW341" s="4">
        <v>42793</v>
      </c>
      <c r="BD341">
        <v>0</v>
      </c>
      <c r="BN341" t="s">
        <v>74</v>
      </c>
    </row>
    <row r="342" spans="1:66">
      <c r="A342">
        <v>100338</v>
      </c>
      <c r="B342" t="s">
        <v>133</v>
      </c>
      <c r="C342" s="1">
        <v>43300101</v>
      </c>
      <c r="D342" t="s">
        <v>67</v>
      </c>
      <c r="H342" t="str">
        <f t="shared" ref="H342:I344" si="43">"02154270595"</f>
        <v>02154270595</v>
      </c>
      <c r="I342" t="str">
        <f t="shared" si="43"/>
        <v>02154270595</v>
      </c>
      <c r="K342" t="str">
        <f>""</f>
        <v/>
      </c>
      <c r="M342" t="s">
        <v>68</v>
      </c>
      <c r="N342" t="str">
        <f t="shared" ref="N342:N349" si="44">"FOR"</f>
        <v>FOR</v>
      </c>
      <c r="O342" t="s">
        <v>69</v>
      </c>
      <c r="P342" t="s">
        <v>75</v>
      </c>
      <c r="Q342">
        <v>2016</v>
      </c>
      <c r="R342" s="4">
        <v>42453</v>
      </c>
      <c r="S342" s="2">
        <v>42464</v>
      </c>
      <c r="T342" s="2">
        <v>42459</v>
      </c>
      <c r="U342" s="4">
        <v>42519</v>
      </c>
      <c r="V342" t="s">
        <v>71</v>
      </c>
      <c r="W342" t="str">
        <f>"            91603416"</f>
        <v xml:space="preserve">            91603416</v>
      </c>
      <c r="X342" s="1">
        <v>2196</v>
      </c>
      <c r="Y342">
        <v>0</v>
      </c>
      <c r="Z342" s="5">
        <v>1800</v>
      </c>
      <c r="AA342" s="3">
        <v>249</v>
      </c>
      <c r="AB342" s="5">
        <v>448200</v>
      </c>
      <c r="AC342" s="1">
        <v>1800</v>
      </c>
      <c r="AD342">
        <v>249</v>
      </c>
      <c r="AE342" s="1">
        <v>448200</v>
      </c>
      <c r="AF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 s="2">
        <v>42831</v>
      </c>
      <c r="AQ342" t="s">
        <v>72</v>
      </c>
      <c r="AR342" t="s">
        <v>72</v>
      </c>
      <c r="AS342">
        <v>197</v>
      </c>
      <c r="AT342" s="4">
        <v>42768</v>
      </c>
      <c r="AU342" t="s">
        <v>73</v>
      </c>
      <c r="AV342">
        <v>197</v>
      </c>
      <c r="AW342" s="4">
        <v>42768</v>
      </c>
      <c r="BD342">
        <v>0</v>
      </c>
      <c r="BN342" t="s">
        <v>74</v>
      </c>
    </row>
    <row r="343" spans="1:66">
      <c r="A343">
        <v>100338</v>
      </c>
      <c r="B343" t="s">
        <v>133</v>
      </c>
      <c r="C343" s="1">
        <v>43300101</v>
      </c>
      <c r="D343" t="s">
        <v>67</v>
      </c>
      <c r="H343" t="str">
        <f t="shared" si="43"/>
        <v>02154270595</v>
      </c>
      <c r="I343" t="str">
        <f t="shared" si="43"/>
        <v>02154270595</v>
      </c>
      <c r="K343" t="str">
        <f>""</f>
        <v/>
      </c>
      <c r="M343" t="s">
        <v>68</v>
      </c>
      <c r="N343" t="str">
        <f t="shared" si="44"/>
        <v>FOR</v>
      </c>
      <c r="O343" t="s">
        <v>69</v>
      </c>
      <c r="P343" t="s">
        <v>75</v>
      </c>
      <c r="Q343">
        <v>2016</v>
      </c>
      <c r="R343" s="4">
        <v>42508</v>
      </c>
      <c r="S343" s="2">
        <v>42515</v>
      </c>
      <c r="T343" s="2">
        <v>42514</v>
      </c>
      <c r="U343" s="4">
        <v>42574</v>
      </c>
      <c r="V343" t="s">
        <v>71</v>
      </c>
      <c r="W343" t="str">
        <f>"            91605494"</f>
        <v xml:space="preserve">            91605494</v>
      </c>
      <c r="X343" s="1">
        <v>2928</v>
      </c>
      <c r="Y343">
        <v>0</v>
      </c>
      <c r="Z343" s="5">
        <v>2400</v>
      </c>
      <c r="AA343" s="3">
        <v>221</v>
      </c>
      <c r="AB343" s="5">
        <v>530400</v>
      </c>
      <c r="AC343" s="1">
        <v>2400</v>
      </c>
      <c r="AD343">
        <v>221</v>
      </c>
      <c r="AE343" s="1">
        <v>530400</v>
      </c>
      <c r="AF343">
        <v>528</v>
      </c>
      <c r="AJ343">
        <v>0</v>
      </c>
      <c r="AK343">
        <v>0</v>
      </c>
      <c r="AL343">
        <v>0</v>
      </c>
      <c r="AM343">
        <v>0</v>
      </c>
      <c r="AN343">
        <v>0</v>
      </c>
      <c r="AO343">
        <v>0</v>
      </c>
      <c r="AP343" s="2">
        <v>42831</v>
      </c>
      <c r="AQ343" t="s">
        <v>72</v>
      </c>
      <c r="AR343" t="s">
        <v>72</v>
      </c>
      <c r="AS343">
        <v>636</v>
      </c>
      <c r="AT343" s="4">
        <v>42795</v>
      </c>
      <c r="AU343" t="s">
        <v>73</v>
      </c>
      <c r="AV343">
        <v>636</v>
      </c>
      <c r="AW343" s="4">
        <v>42795</v>
      </c>
      <c r="BD343">
        <v>528</v>
      </c>
      <c r="BN343" t="s">
        <v>74</v>
      </c>
    </row>
    <row r="344" spans="1:66">
      <c r="A344">
        <v>100338</v>
      </c>
      <c r="B344" t="s">
        <v>133</v>
      </c>
      <c r="C344" s="1">
        <v>43300101</v>
      </c>
      <c r="D344" t="s">
        <v>67</v>
      </c>
      <c r="H344" t="str">
        <f t="shared" si="43"/>
        <v>02154270595</v>
      </c>
      <c r="I344" t="str">
        <f t="shared" si="43"/>
        <v>02154270595</v>
      </c>
      <c r="K344" t="str">
        <f>""</f>
        <v/>
      </c>
      <c r="M344" t="s">
        <v>68</v>
      </c>
      <c r="N344" t="str">
        <f t="shared" si="44"/>
        <v>FOR</v>
      </c>
      <c r="O344" t="s">
        <v>69</v>
      </c>
      <c r="P344" t="s">
        <v>75</v>
      </c>
      <c r="Q344">
        <v>2016</v>
      </c>
      <c r="R344" s="4">
        <v>42520</v>
      </c>
      <c r="S344" s="2">
        <v>42530</v>
      </c>
      <c r="T344" s="2">
        <v>42529</v>
      </c>
      <c r="U344" s="4">
        <v>42589</v>
      </c>
      <c r="V344" t="s">
        <v>71</v>
      </c>
      <c r="W344" t="str">
        <f>"            91605944"</f>
        <v xml:space="preserve">            91605944</v>
      </c>
      <c r="X344">
        <v>936</v>
      </c>
      <c r="Y344">
        <v>0</v>
      </c>
      <c r="Z344" s="5">
        <v>900</v>
      </c>
      <c r="AA344" s="3">
        <v>206</v>
      </c>
      <c r="AB344" s="5">
        <v>185400</v>
      </c>
      <c r="AC344">
        <v>900</v>
      </c>
      <c r="AD344">
        <v>206</v>
      </c>
      <c r="AE344" s="1">
        <v>185400</v>
      </c>
      <c r="AF344">
        <v>36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 s="2">
        <v>42831</v>
      </c>
      <c r="AQ344" t="s">
        <v>72</v>
      </c>
      <c r="AR344" t="s">
        <v>72</v>
      </c>
      <c r="AS344">
        <v>636</v>
      </c>
      <c r="AT344" s="4">
        <v>42795</v>
      </c>
      <c r="AU344" t="s">
        <v>73</v>
      </c>
      <c r="AV344">
        <v>636</v>
      </c>
      <c r="AW344" s="4">
        <v>42795</v>
      </c>
      <c r="BD344">
        <v>36</v>
      </c>
      <c r="BN344" t="s">
        <v>74</v>
      </c>
    </row>
    <row r="345" spans="1:66">
      <c r="A345">
        <v>100349</v>
      </c>
      <c r="B345" t="s">
        <v>134</v>
      </c>
      <c r="C345" s="1">
        <v>43300101</v>
      </c>
      <c r="D345" t="s">
        <v>67</v>
      </c>
      <c r="H345" t="str">
        <f>"01434070155"</f>
        <v>01434070155</v>
      </c>
      <c r="I345" t="str">
        <f>"01434070155"</f>
        <v>01434070155</v>
      </c>
      <c r="K345" t="str">
        <f>""</f>
        <v/>
      </c>
      <c r="M345" t="s">
        <v>68</v>
      </c>
      <c r="N345" t="str">
        <f t="shared" si="44"/>
        <v>FOR</v>
      </c>
      <c r="O345" t="s">
        <v>69</v>
      </c>
      <c r="P345" t="s">
        <v>75</v>
      </c>
      <c r="Q345">
        <v>2016</v>
      </c>
      <c r="R345" s="4">
        <v>42683</v>
      </c>
      <c r="S345" s="2">
        <v>42690</v>
      </c>
      <c r="T345" s="2">
        <v>42688</v>
      </c>
      <c r="U345" s="4">
        <v>42748</v>
      </c>
      <c r="V345" t="s">
        <v>71</v>
      </c>
      <c r="W345" t="str">
        <f>"        V6-1155 2016"</f>
        <v xml:space="preserve">        V6-1155 2016</v>
      </c>
      <c r="X345">
        <v>27.52</v>
      </c>
      <c r="Y345">
        <v>0</v>
      </c>
      <c r="Z345" s="5">
        <v>25.02</v>
      </c>
      <c r="AA345" s="3">
        <v>20</v>
      </c>
      <c r="AB345" s="3">
        <v>500.4</v>
      </c>
      <c r="AC345">
        <v>25.02</v>
      </c>
      <c r="AD345">
        <v>20</v>
      </c>
      <c r="AE345">
        <v>500.4</v>
      </c>
      <c r="AF345">
        <v>0</v>
      </c>
      <c r="AJ345">
        <v>0</v>
      </c>
      <c r="AK345">
        <v>0</v>
      </c>
      <c r="AL345">
        <v>0</v>
      </c>
      <c r="AM345">
        <v>0</v>
      </c>
      <c r="AN345">
        <v>0</v>
      </c>
      <c r="AO345">
        <v>0</v>
      </c>
      <c r="AP345" s="2">
        <v>42831</v>
      </c>
      <c r="AQ345" t="s">
        <v>72</v>
      </c>
      <c r="AR345" t="s">
        <v>72</v>
      </c>
      <c r="AS345">
        <v>256</v>
      </c>
      <c r="AT345" s="4">
        <v>42768</v>
      </c>
      <c r="AU345" t="s">
        <v>73</v>
      </c>
      <c r="AV345">
        <v>256</v>
      </c>
      <c r="AW345" s="4">
        <v>42768</v>
      </c>
      <c r="BD345">
        <v>0</v>
      </c>
      <c r="BN345" t="s">
        <v>74</v>
      </c>
    </row>
    <row r="346" spans="1:66">
      <c r="A346">
        <v>100352</v>
      </c>
      <c r="B346" t="s">
        <v>135</v>
      </c>
      <c r="C346" s="1">
        <v>43300101</v>
      </c>
      <c r="D346" t="s">
        <v>67</v>
      </c>
      <c r="H346" t="str">
        <f>"00322800376"</f>
        <v>00322800376</v>
      </c>
      <c r="I346" t="str">
        <f>"00503151201"</f>
        <v>00503151201</v>
      </c>
      <c r="K346" t="str">
        <f>""</f>
        <v/>
      </c>
      <c r="M346" t="s">
        <v>68</v>
      </c>
      <c r="N346" t="str">
        <f t="shared" si="44"/>
        <v>FOR</v>
      </c>
      <c r="O346" t="s">
        <v>69</v>
      </c>
      <c r="P346" t="s">
        <v>75</v>
      </c>
      <c r="Q346">
        <v>2016</v>
      </c>
      <c r="R346" s="4">
        <v>42513</v>
      </c>
      <c r="S346" s="2">
        <v>42520</v>
      </c>
      <c r="T346" s="2">
        <v>42517</v>
      </c>
      <c r="U346" s="4">
        <v>42577</v>
      </c>
      <c r="V346" t="s">
        <v>71</v>
      </c>
      <c r="W346" t="str">
        <f>"             8008404"</f>
        <v xml:space="preserve">             8008404</v>
      </c>
      <c r="X346">
        <v>569.74</v>
      </c>
      <c r="Y346">
        <v>0</v>
      </c>
      <c r="Z346" s="5">
        <v>467</v>
      </c>
      <c r="AA346" s="3">
        <v>216</v>
      </c>
      <c r="AB346" s="5">
        <v>100872</v>
      </c>
      <c r="AC346">
        <v>467</v>
      </c>
      <c r="AD346">
        <v>216</v>
      </c>
      <c r="AE346" s="1">
        <v>100872</v>
      </c>
      <c r="AF346">
        <v>0</v>
      </c>
      <c r="AJ346">
        <v>0</v>
      </c>
      <c r="AK346">
        <v>0</v>
      </c>
      <c r="AL346">
        <v>0</v>
      </c>
      <c r="AM346">
        <v>0</v>
      </c>
      <c r="AN346">
        <v>0</v>
      </c>
      <c r="AO346">
        <v>0</v>
      </c>
      <c r="AP346" s="2">
        <v>42831</v>
      </c>
      <c r="AQ346" t="s">
        <v>72</v>
      </c>
      <c r="AR346" t="s">
        <v>72</v>
      </c>
      <c r="AS346">
        <v>596</v>
      </c>
      <c r="AT346" s="4">
        <v>42793</v>
      </c>
      <c r="AU346" t="s">
        <v>73</v>
      </c>
      <c r="AV346">
        <v>596</v>
      </c>
      <c r="AW346" s="4">
        <v>42793</v>
      </c>
      <c r="BD346">
        <v>0</v>
      </c>
      <c r="BN346" t="s">
        <v>74</v>
      </c>
    </row>
    <row r="347" spans="1:66">
      <c r="A347">
        <v>100352</v>
      </c>
      <c r="B347" t="s">
        <v>135</v>
      </c>
      <c r="C347" s="1">
        <v>43300101</v>
      </c>
      <c r="D347" t="s">
        <v>67</v>
      </c>
      <c r="H347" t="str">
        <f>"00322800376"</f>
        <v>00322800376</v>
      </c>
      <c r="I347" t="str">
        <f>"00503151201"</f>
        <v>00503151201</v>
      </c>
      <c r="K347" t="str">
        <f>""</f>
        <v/>
      </c>
      <c r="M347" t="s">
        <v>68</v>
      </c>
      <c r="N347" t="str">
        <f t="shared" si="44"/>
        <v>FOR</v>
      </c>
      <c r="O347" t="s">
        <v>69</v>
      </c>
      <c r="P347" t="s">
        <v>75</v>
      </c>
      <c r="Q347">
        <v>2016</v>
      </c>
      <c r="R347" s="4">
        <v>42517</v>
      </c>
      <c r="S347" s="2">
        <v>42521</v>
      </c>
      <c r="T347" s="2">
        <v>42521</v>
      </c>
      <c r="U347" s="4">
        <v>42581</v>
      </c>
      <c r="V347" t="s">
        <v>71</v>
      </c>
      <c r="W347" t="str">
        <f>"             8008855"</f>
        <v xml:space="preserve">             8008855</v>
      </c>
      <c r="X347" s="1">
        <v>1830</v>
      </c>
      <c r="Y347">
        <v>0</v>
      </c>
      <c r="Z347" s="5">
        <v>1500</v>
      </c>
      <c r="AA347" s="3">
        <v>212</v>
      </c>
      <c r="AB347" s="5">
        <v>318000</v>
      </c>
      <c r="AC347" s="1">
        <v>1500</v>
      </c>
      <c r="AD347">
        <v>212</v>
      </c>
      <c r="AE347" s="1">
        <v>318000</v>
      </c>
      <c r="AF347">
        <v>0</v>
      </c>
      <c r="AJ347">
        <v>0</v>
      </c>
      <c r="AK347">
        <v>0</v>
      </c>
      <c r="AL347">
        <v>0</v>
      </c>
      <c r="AM347">
        <v>0</v>
      </c>
      <c r="AN347">
        <v>0</v>
      </c>
      <c r="AO347">
        <v>0</v>
      </c>
      <c r="AP347" s="2">
        <v>42831</v>
      </c>
      <c r="AQ347" t="s">
        <v>72</v>
      </c>
      <c r="AR347" t="s">
        <v>72</v>
      </c>
      <c r="AS347">
        <v>596</v>
      </c>
      <c r="AT347" s="4">
        <v>42793</v>
      </c>
      <c r="AU347" t="s">
        <v>73</v>
      </c>
      <c r="AV347">
        <v>596</v>
      </c>
      <c r="AW347" s="4">
        <v>42793</v>
      </c>
      <c r="BD347">
        <v>0</v>
      </c>
      <c r="BN347" t="s">
        <v>74</v>
      </c>
    </row>
    <row r="348" spans="1:66">
      <c r="A348">
        <v>100353</v>
      </c>
      <c r="B348" t="s">
        <v>136</v>
      </c>
      <c r="C348" s="1">
        <v>43300101</v>
      </c>
      <c r="D348" t="s">
        <v>67</v>
      </c>
      <c r="H348" t="str">
        <f>"04559761210"</f>
        <v>04559761210</v>
      </c>
      <c r="I348" t="str">
        <f>"04559761210"</f>
        <v>04559761210</v>
      </c>
      <c r="K348" t="str">
        <f>""</f>
        <v/>
      </c>
      <c r="M348" t="s">
        <v>68</v>
      </c>
      <c r="N348" t="str">
        <f t="shared" si="44"/>
        <v>FOR</v>
      </c>
      <c r="O348" t="s">
        <v>69</v>
      </c>
      <c r="P348" t="s">
        <v>75</v>
      </c>
      <c r="Q348">
        <v>2016</v>
      </c>
      <c r="R348" s="4">
        <v>42433</v>
      </c>
      <c r="S348" s="2">
        <v>42443</v>
      </c>
      <c r="T348" s="2">
        <v>42438</v>
      </c>
      <c r="U348" s="4">
        <v>42498</v>
      </c>
      <c r="V348" t="s">
        <v>71</v>
      </c>
      <c r="W348" t="str">
        <f>"         FATTPA 2_16"</f>
        <v xml:space="preserve">         FATTPA 2_16</v>
      </c>
      <c r="X348" s="1">
        <v>1268.8</v>
      </c>
      <c r="Y348">
        <v>0</v>
      </c>
      <c r="Z348" s="5">
        <v>1040</v>
      </c>
      <c r="AA348" s="3">
        <v>302</v>
      </c>
      <c r="AB348" s="5">
        <v>314080</v>
      </c>
      <c r="AC348" s="1">
        <v>1040</v>
      </c>
      <c r="AD348">
        <v>302</v>
      </c>
      <c r="AE348" s="1">
        <v>314080</v>
      </c>
      <c r="AF348">
        <v>228.8</v>
      </c>
      <c r="AJ348">
        <v>0</v>
      </c>
      <c r="AK348">
        <v>0</v>
      </c>
      <c r="AL348">
        <v>0</v>
      </c>
      <c r="AM348">
        <v>0</v>
      </c>
      <c r="AN348">
        <v>0</v>
      </c>
      <c r="AO348">
        <v>0</v>
      </c>
      <c r="AP348" s="2">
        <v>42831</v>
      </c>
      <c r="AQ348" t="s">
        <v>72</v>
      </c>
      <c r="AR348" t="s">
        <v>72</v>
      </c>
      <c r="AS348">
        <v>735</v>
      </c>
      <c r="AT348" s="4">
        <v>42800</v>
      </c>
      <c r="AU348" t="s">
        <v>73</v>
      </c>
      <c r="AV348">
        <v>735</v>
      </c>
      <c r="AW348" s="4">
        <v>42800</v>
      </c>
      <c r="BD348">
        <v>228.8</v>
      </c>
      <c r="BN348" t="s">
        <v>74</v>
      </c>
    </row>
    <row r="349" spans="1:66">
      <c r="A349">
        <v>100353</v>
      </c>
      <c r="B349" t="s">
        <v>136</v>
      </c>
      <c r="C349" s="1">
        <v>43300101</v>
      </c>
      <c r="D349" t="s">
        <v>67</v>
      </c>
      <c r="H349" t="str">
        <f>"04559761210"</f>
        <v>04559761210</v>
      </c>
      <c r="I349" t="str">
        <f>"04559761210"</f>
        <v>04559761210</v>
      </c>
      <c r="K349" t="str">
        <f>""</f>
        <v/>
      </c>
      <c r="M349" t="s">
        <v>68</v>
      </c>
      <c r="N349" t="str">
        <f t="shared" si="44"/>
        <v>FOR</v>
      </c>
      <c r="O349" t="s">
        <v>69</v>
      </c>
      <c r="P349" t="s">
        <v>75</v>
      </c>
      <c r="Q349">
        <v>2016</v>
      </c>
      <c r="R349" s="4">
        <v>42734</v>
      </c>
      <c r="S349" s="2">
        <v>42753</v>
      </c>
      <c r="T349" s="2">
        <v>42745</v>
      </c>
      <c r="U349" s="4">
        <v>42805</v>
      </c>
      <c r="V349" t="s">
        <v>71</v>
      </c>
      <c r="W349" t="str">
        <f>"         FATTPA 3_16"</f>
        <v xml:space="preserve">         FATTPA 3_16</v>
      </c>
      <c r="X349">
        <v>507.52</v>
      </c>
      <c r="Y349">
        <v>0</v>
      </c>
      <c r="Z349" s="5">
        <v>416</v>
      </c>
      <c r="AA349" s="3">
        <v>-5</v>
      </c>
      <c r="AB349" s="5">
        <v>-2080</v>
      </c>
      <c r="AC349">
        <v>416</v>
      </c>
      <c r="AD349">
        <v>-5</v>
      </c>
      <c r="AE349" s="1">
        <v>-2080</v>
      </c>
      <c r="AF349">
        <v>91.52</v>
      </c>
      <c r="AJ349">
        <v>0</v>
      </c>
      <c r="AK349">
        <v>507.52</v>
      </c>
      <c r="AL349">
        <v>0</v>
      </c>
      <c r="AM349">
        <v>0</v>
      </c>
      <c r="AN349">
        <v>507.52</v>
      </c>
      <c r="AO349">
        <v>0</v>
      </c>
      <c r="AP349" s="2">
        <v>42831</v>
      </c>
      <c r="AQ349" t="s">
        <v>72</v>
      </c>
      <c r="AR349" t="s">
        <v>72</v>
      </c>
      <c r="AS349">
        <v>735</v>
      </c>
      <c r="AT349" s="4">
        <v>42800</v>
      </c>
      <c r="AV349">
        <v>735</v>
      </c>
      <c r="AW349" s="4">
        <v>42800</v>
      </c>
      <c r="AX349">
        <v>91.52</v>
      </c>
      <c r="BD349">
        <v>0</v>
      </c>
      <c r="BN349" t="s">
        <v>74</v>
      </c>
    </row>
    <row r="350" spans="1:66">
      <c r="A350">
        <v>100355</v>
      </c>
      <c r="B350" t="s">
        <v>137</v>
      </c>
      <c r="C350" s="1">
        <v>43500101</v>
      </c>
      <c r="D350" t="s">
        <v>98</v>
      </c>
      <c r="H350" t="str">
        <f>"CRLVCN48R25D789Y"</f>
        <v>CRLVCN48R25D789Y</v>
      </c>
      <c r="I350" t="str">
        <f>"00180241218"</f>
        <v>00180241218</v>
      </c>
      <c r="K350" t="str">
        <f>""</f>
        <v/>
      </c>
      <c r="M350" t="s">
        <v>68</v>
      </c>
      <c r="N350" t="str">
        <f>"ALTPRO"</f>
        <v>ALTPRO</v>
      </c>
      <c r="O350" t="s">
        <v>116</v>
      </c>
      <c r="P350" t="s">
        <v>75</v>
      </c>
      <c r="Q350">
        <v>2017</v>
      </c>
      <c r="R350" s="4">
        <v>42811</v>
      </c>
      <c r="S350" s="2">
        <v>42811</v>
      </c>
      <c r="T350" s="2">
        <v>42811</v>
      </c>
      <c r="U350" s="4">
        <v>42871</v>
      </c>
      <c r="V350" t="s">
        <v>71</v>
      </c>
      <c r="W350" t="str">
        <f>"                9/PA"</f>
        <v xml:space="preserve">                9/PA</v>
      </c>
      <c r="X350">
        <v>338.64</v>
      </c>
      <c r="Y350">
        <v>-43.06</v>
      </c>
      <c r="Z350" s="5">
        <v>295.58</v>
      </c>
      <c r="AA350" s="3">
        <v>-55</v>
      </c>
      <c r="AB350" s="5">
        <v>-16256.9</v>
      </c>
      <c r="AC350">
        <v>295.58</v>
      </c>
      <c r="AD350">
        <v>-55</v>
      </c>
      <c r="AE350" s="1">
        <v>-16256.9</v>
      </c>
      <c r="AF350">
        <v>0</v>
      </c>
      <c r="AJ350">
        <v>295.58</v>
      </c>
      <c r="AK350">
        <v>295.58</v>
      </c>
      <c r="AL350">
        <v>295.58</v>
      </c>
      <c r="AM350">
        <v>295.58</v>
      </c>
      <c r="AN350">
        <v>295.58</v>
      </c>
      <c r="AO350">
        <v>295.58</v>
      </c>
      <c r="AP350" s="2">
        <v>42831</v>
      </c>
      <c r="AQ350" t="s">
        <v>72</v>
      </c>
      <c r="AR350" t="s">
        <v>72</v>
      </c>
      <c r="AS350">
        <v>882</v>
      </c>
      <c r="AT350" s="4">
        <v>42816</v>
      </c>
      <c r="AV350">
        <v>882</v>
      </c>
      <c r="AW350" s="4">
        <v>42816</v>
      </c>
      <c r="BD350">
        <v>0</v>
      </c>
      <c r="BN350" t="s">
        <v>74</v>
      </c>
    </row>
    <row r="351" spans="1:66">
      <c r="A351">
        <v>100371</v>
      </c>
      <c r="B351" t="s">
        <v>138</v>
      </c>
      <c r="C351" s="1">
        <v>43300101</v>
      </c>
      <c r="D351" t="s">
        <v>67</v>
      </c>
      <c r="H351" t="str">
        <f t="shared" ref="H351:I365" si="45">"11629770154"</f>
        <v>11629770154</v>
      </c>
      <c r="I351" t="str">
        <f t="shared" si="45"/>
        <v>11629770154</v>
      </c>
      <c r="K351" t="str">
        <f>""</f>
        <v/>
      </c>
      <c r="M351" t="s">
        <v>68</v>
      </c>
      <c r="N351" t="str">
        <f t="shared" ref="N351:N366" si="46">"FOR"</f>
        <v>FOR</v>
      </c>
      <c r="O351" t="s">
        <v>69</v>
      </c>
      <c r="P351" t="s">
        <v>75</v>
      </c>
      <c r="Q351">
        <v>2016</v>
      </c>
      <c r="R351" s="4">
        <v>42521</v>
      </c>
      <c r="S351" s="2">
        <v>42537</v>
      </c>
      <c r="T351" s="2">
        <v>42534</v>
      </c>
      <c r="U351" s="4">
        <v>42594</v>
      </c>
      <c r="V351" t="s">
        <v>71</v>
      </c>
      <c r="W351" t="str">
        <f>"               33874"</f>
        <v xml:space="preserve">               33874</v>
      </c>
      <c r="X351" s="1">
        <v>3936.35</v>
      </c>
      <c r="Y351">
        <v>0</v>
      </c>
      <c r="Z351" s="5">
        <v>3905.12</v>
      </c>
      <c r="AA351" s="3">
        <v>178</v>
      </c>
      <c r="AB351" s="5">
        <v>695111.36</v>
      </c>
      <c r="AC351" s="1">
        <v>3905.12</v>
      </c>
      <c r="AD351">
        <v>178</v>
      </c>
      <c r="AE351" s="1">
        <v>695111.36</v>
      </c>
      <c r="AF351">
        <v>0</v>
      </c>
      <c r="AJ351">
        <v>0</v>
      </c>
      <c r="AK351">
        <v>0</v>
      </c>
      <c r="AL351">
        <v>0</v>
      </c>
      <c r="AM351">
        <v>0</v>
      </c>
      <c r="AN351">
        <v>0</v>
      </c>
      <c r="AO351">
        <v>0</v>
      </c>
      <c r="AP351" s="2">
        <v>42831</v>
      </c>
      <c r="AQ351" t="s">
        <v>72</v>
      </c>
      <c r="AR351" t="s">
        <v>72</v>
      </c>
      <c r="AS351">
        <v>303</v>
      </c>
      <c r="AT351" s="4">
        <v>42772</v>
      </c>
      <c r="AU351" t="s">
        <v>73</v>
      </c>
      <c r="AV351">
        <v>303</v>
      </c>
      <c r="AW351" s="4">
        <v>42772</v>
      </c>
      <c r="BD351">
        <v>0</v>
      </c>
      <c r="BN351" t="s">
        <v>74</v>
      </c>
    </row>
    <row r="352" spans="1:66">
      <c r="A352">
        <v>100371</v>
      </c>
      <c r="B352" t="s">
        <v>138</v>
      </c>
      <c r="C352" s="1">
        <v>43300101</v>
      </c>
      <c r="D352" t="s">
        <v>67</v>
      </c>
      <c r="H352" t="str">
        <f t="shared" si="45"/>
        <v>11629770154</v>
      </c>
      <c r="I352" t="str">
        <f t="shared" si="45"/>
        <v>11629770154</v>
      </c>
      <c r="K352" t="str">
        <f>""</f>
        <v/>
      </c>
      <c r="M352" t="s">
        <v>68</v>
      </c>
      <c r="N352" t="str">
        <f t="shared" si="46"/>
        <v>FOR</v>
      </c>
      <c r="O352" t="s">
        <v>69</v>
      </c>
      <c r="P352" t="s">
        <v>75</v>
      </c>
      <c r="Q352">
        <v>2016</v>
      </c>
      <c r="R352" s="4">
        <v>42521</v>
      </c>
      <c r="S352" s="2">
        <v>42537</v>
      </c>
      <c r="T352" s="2">
        <v>42534</v>
      </c>
      <c r="U352" s="4">
        <v>42594</v>
      </c>
      <c r="V352" t="s">
        <v>71</v>
      </c>
      <c r="W352" t="str">
        <f>"               33997"</f>
        <v xml:space="preserve">               33997</v>
      </c>
      <c r="X352" s="1">
        <v>186361.09</v>
      </c>
      <c r="Y352">
        <v>0</v>
      </c>
      <c r="Z352" s="5">
        <v>185292.84</v>
      </c>
      <c r="AA352" s="3">
        <v>178</v>
      </c>
      <c r="AB352" s="5">
        <v>32982125.52</v>
      </c>
      <c r="AC352" s="1">
        <v>185292.84</v>
      </c>
      <c r="AD352">
        <v>178</v>
      </c>
      <c r="AE352" s="1">
        <v>32982125.52</v>
      </c>
      <c r="AF352">
        <v>0</v>
      </c>
      <c r="AJ352">
        <v>0</v>
      </c>
      <c r="AK352">
        <v>0</v>
      </c>
      <c r="AL352">
        <v>0</v>
      </c>
      <c r="AM352">
        <v>0</v>
      </c>
      <c r="AN352">
        <v>0</v>
      </c>
      <c r="AO352">
        <v>0</v>
      </c>
      <c r="AP352" s="2">
        <v>42831</v>
      </c>
      <c r="AQ352" t="s">
        <v>72</v>
      </c>
      <c r="AR352" t="s">
        <v>72</v>
      </c>
      <c r="AS352">
        <v>303</v>
      </c>
      <c r="AT352" s="4">
        <v>42772</v>
      </c>
      <c r="AU352" t="s">
        <v>73</v>
      </c>
      <c r="AV352">
        <v>303</v>
      </c>
      <c r="AW352" s="4">
        <v>42772</v>
      </c>
      <c r="BD352">
        <v>0</v>
      </c>
      <c r="BN352" t="s">
        <v>74</v>
      </c>
    </row>
    <row r="353" spans="1:66">
      <c r="A353">
        <v>100371</v>
      </c>
      <c r="B353" t="s">
        <v>138</v>
      </c>
      <c r="C353" s="1">
        <v>43300101</v>
      </c>
      <c r="D353" t="s">
        <v>67</v>
      </c>
      <c r="H353" t="str">
        <f t="shared" si="45"/>
        <v>11629770154</v>
      </c>
      <c r="I353" t="str">
        <f t="shared" si="45"/>
        <v>11629770154</v>
      </c>
      <c r="K353" t="str">
        <f>""</f>
        <v/>
      </c>
      <c r="M353" t="s">
        <v>68</v>
      </c>
      <c r="N353" t="str">
        <f t="shared" si="46"/>
        <v>FOR</v>
      </c>
      <c r="O353" t="s">
        <v>69</v>
      </c>
      <c r="P353" t="s">
        <v>75</v>
      </c>
      <c r="Q353">
        <v>2016</v>
      </c>
      <c r="R353" s="4">
        <v>42521</v>
      </c>
      <c r="S353" s="2">
        <v>42537</v>
      </c>
      <c r="T353" s="2">
        <v>42534</v>
      </c>
      <c r="U353" s="4">
        <v>42594</v>
      </c>
      <c r="V353" t="s">
        <v>71</v>
      </c>
      <c r="W353" t="str">
        <f>"               33998"</f>
        <v xml:space="preserve">               33998</v>
      </c>
      <c r="X353" s="1">
        <v>53126.89</v>
      </c>
      <c r="Y353">
        <v>0</v>
      </c>
      <c r="Z353" s="5">
        <v>52745.32</v>
      </c>
      <c r="AA353" s="3">
        <v>178</v>
      </c>
      <c r="AB353" s="5">
        <v>9388666.9600000009</v>
      </c>
      <c r="AC353" s="1">
        <v>52745.32</v>
      </c>
      <c r="AD353">
        <v>178</v>
      </c>
      <c r="AE353" s="1">
        <v>9388666.9600000009</v>
      </c>
      <c r="AF353">
        <v>0</v>
      </c>
      <c r="AJ353">
        <v>0</v>
      </c>
      <c r="AK353">
        <v>0</v>
      </c>
      <c r="AL353">
        <v>0</v>
      </c>
      <c r="AM353">
        <v>0</v>
      </c>
      <c r="AN353">
        <v>0</v>
      </c>
      <c r="AO353">
        <v>0</v>
      </c>
      <c r="AP353" s="2">
        <v>42831</v>
      </c>
      <c r="AQ353" t="s">
        <v>72</v>
      </c>
      <c r="AR353" t="s">
        <v>72</v>
      </c>
      <c r="AS353">
        <v>303</v>
      </c>
      <c r="AT353" s="4">
        <v>42772</v>
      </c>
      <c r="AU353" t="s">
        <v>73</v>
      </c>
      <c r="AV353">
        <v>303</v>
      </c>
      <c r="AW353" s="4">
        <v>42772</v>
      </c>
      <c r="BD353">
        <v>0</v>
      </c>
      <c r="BN353" t="s">
        <v>74</v>
      </c>
    </row>
    <row r="354" spans="1:66">
      <c r="A354">
        <v>100371</v>
      </c>
      <c r="B354" t="s">
        <v>138</v>
      </c>
      <c r="C354" s="1">
        <v>43300101</v>
      </c>
      <c r="D354" t="s">
        <v>67</v>
      </c>
      <c r="H354" t="str">
        <f t="shared" si="45"/>
        <v>11629770154</v>
      </c>
      <c r="I354" t="str">
        <f t="shared" si="45"/>
        <v>11629770154</v>
      </c>
      <c r="K354" t="str">
        <f>""</f>
        <v/>
      </c>
      <c r="M354" t="s">
        <v>68</v>
      </c>
      <c r="N354" t="str">
        <f t="shared" si="46"/>
        <v>FOR</v>
      </c>
      <c r="O354" t="s">
        <v>69</v>
      </c>
      <c r="P354" t="s">
        <v>75</v>
      </c>
      <c r="Q354">
        <v>2016</v>
      </c>
      <c r="R354" s="4">
        <v>42521</v>
      </c>
      <c r="S354" s="2">
        <v>42537</v>
      </c>
      <c r="T354" s="2">
        <v>42534</v>
      </c>
      <c r="U354" s="4">
        <v>42594</v>
      </c>
      <c r="V354" t="s">
        <v>71</v>
      </c>
      <c r="W354" t="str">
        <f>"               33999"</f>
        <v xml:space="preserve">               33999</v>
      </c>
      <c r="X354" s="1">
        <v>3340.45</v>
      </c>
      <c r="Y354">
        <v>0</v>
      </c>
      <c r="Z354" s="5">
        <v>3313.68</v>
      </c>
      <c r="AA354" s="3">
        <v>178</v>
      </c>
      <c r="AB354" s="5">
        <v>589835.04</v>
      </c>
      <c r="AC354" s="1">
        <v>3313.68</v>
      </c>
      <c r="AD354">
        <v>178</v>
      </c>
      <c r="AE354" s="1">
        <v>589835.04</v>
      </c>
      <c r="AF354">
        <v>0</v>
      </c>
      <c r="AJ354">
        <v>0</v>
      </c>
      <c r="AK354">
        <v>0</v>
      </c>
      <c r="AL354">
        <v>0</v>
      </c>
      <c r="AM354">
        <v>0</v>
      </c>
      <c r="AN354">
        <v>0</v>
      </c>
      <c r="AO354">
        <v>0</v>
      </c>
      <c r="AP354" s="2">
        <v>42831</v>
      </c>
      <c r="AQ354" t="s">
        <v>72</v>
      </c>
      <c r="AR354" t="s">
        <v>72</v>
      </c>
      <c r="AS354">
        <v>303</v>
      </c>
      <c r="AT354" s="4">
        <v>42772</v>
      </c>
      <c r="AU354" t="s">
        <v>73</v>
      </c>
      <c r="AV354">
        <v>303</v>
      </c>
      <c r="AW354" s="4">
        <v>42772</v>
      </c>
      <c r="BD354">
        <v>0</v>
      </c>
      <c r="BN354" t="s">
        <v>74</v>
      </c>
    </row>
    <row r="355" spans="1:66">
      <c r="A355">
        <v>100371</v>
      </c>
      <c r="B355" t="s">
        <v>138</v>
      </c>
      <c r="C355" s="1">
        <v>43300101</v>
      </c>
      <c r="D355" t="s">
        <v>67</v>
      </c>
      <c r="H355" t="str">
        <f t="shared" si="45"/>
        <v>11629770154</v>
      </c>
      <c r="I355" t="str">
        <f t="shared" si="45"/>
        <v>11629770154</v>
      </c>
      <c r="K355" t="str">
        <f>""</f>
        <v/>
      </c>
      <c r="M355" t="s">
        <v>68</v>
      </c>
      <c r="N355" t="str">
        <f t="shared" si="46"/>
        <v>FOR</v>
      </c>
      <c r="O355" t="s">
        <v>69</v>
      </c>
      <c r="P355" t="s">
        <v>75</v>
      </c>
      <c r="Q355">
        <v>2016</v>
      </c>
      <c r="R355" s="4">
        <v>42521</v>
      </c>
      <c r="S355" s="2">
        <v>42537</v>
      </c>
      <c r="T355" s="2">
        <v>42534</v>
      </c>
      <c r="U355" s="4">
        <v>42594</v>
      </c>
      <c r="V355" t="s">
        <v>71</v>
      </c>
      <c r="W355" t="str">
        <f>"               34000"</f>
        <v xml:space="preserve">               34000</v>
      </c>
      <c r="X355" s="1">
        <v>9869.4599999999991</v>
      </c>
      <c r="Y355">
        <v>0</v>
      </c>
      <c r="Z355" s="5">
        <v>9798.4</v>
      </c>
      <c r="AA355" s="3">
        <v>178</v>
      </c>
      <c r="AB355" s="5">
        <v>1744115.2</v>
      </c>
      <c r="AC355" s="1">
        <v>9798.4</v>
      </c>
      <c r="AD355">
        <v>178</v>
      </c>
      <c r="AE355" s="1">
        <v>1744115.2</v>
      </c>
      <c r="AF355">
        <v>0</v>
      </c>
      <c r="AJ355">
        <v>0</v>
      </c>
      <c r="AK355">
        <v>0</v>
      </c>
      <c r="AL355">
        <v>0</v>
      </c>
      <c r="AM355">
        <v>0</v>
      </c>
      <c r="AN355">
        <v>0</v>
      </c>
      <c r="AO355">
        <v>0</v>
      </c>
      <c r="AP355" s="2">
        <v>42831</v>
      </c>
      <c r="AQ355" t="s">
        <v>72</v>
      </c>
      <c r="AR355" t="s">
        <v>72</v>
      </c>
      <c r="AS355">
        <v>303</v>
      </c>
      <c r="AT355" s="4">
        <v>42772</v>
      </c>
      <c r="AU355" t="s">
        <v>73</v>
      </c>
      <c r="AV355">
        <v>303</v>
      </c>
      <c r="AW355" s="4">
        <v>42772</v>
      </c>
      <c r="BD355">
        <v>0</v>
      </c>
      <c r="BN355" t="s">
        <v>74</v>
      </c>
    </row>
    <row r="356" spans="1:66">
      <c r="A356">
        <v>100371</v>
      </c>
      <c r="B356" t="s">
        <v>138</v>
      </c>
      <c r="C356" s="1">
        <v>43300101</v>
      </c>
      <c r="D356" t="s">
        <v>67</v>
      </c>
      <c r="H356" t="str">
        <f t="shared" si="45"/>
        <v>11629770154</v>
      </c>
      <c r="I356" t="str">
        <f t="shared" si="45"/>
        <v>11629770154</v>
      </c>
      <c r="K356" t="str">
        <f>""</f>
        <v/>
      </c>
      <c r="M356" t="s">
        <v>68</v>
      </c>
      <c r="N356" t="str">
        <f t="shared" si="46"/>
        <v>FOR</v>
      </c>
      <c r="O356" t="s">
        <v>69</v>
      </c>
      <c r="P356" t="s">
        <v>75</v>
      </c>
      <c r="Q356">
        <v>2016</v>
      </c>
      <c r="R356" s="4">
        <v>42521</v>
      </c>
      <c r="S356" s="2">
        <v>42537</v>
      </c>
      <c r="T356" s="2">
        <v>42534</v>
      </c>
      <c r="U356" s="4">
        <v>42594</v>
      </c>
      <c r="V356" t="s">
        <v>71</v>
      </c>
      <c r="W356" t="str">
        <f>"               34001"</f>
        <v xml:space="preserve">               34001</v>
      </c>
      <c r="X356" s="1">
        <v>6790.62</v>
      </c>
      <c r="Y356">
        <v>0</v>
      </c>
      <c r="Z356" s="5">
        <v>6739.53</v>
      </c>
      <c r="AA356" s="3">
        <v>178</v>
      </c>
      <c r="AB356" s="5">
        <v>1199636.3400000001</v>
      </c>
      <c r="AC356" s="1">
        <v>6739.53</v>
      </c>
      <c r="AD356">
        <v>178</v>
      </c>
      <c r="AE356" s="1">
        <v>1199636.3400000001</v>
      </c>
      <c r="AF356">
        <v>0</v>
      </c>
      <c r="AJ356">
        <v>0</v>
      </c>
      <c r="AK356">
        <v>0</v>
      </c>
      <c r="AL356">
        <v>0</v>
      </c>
      <c r="AM356">
        <v>0</v>
      </c>
      <c r="AN356">
        <v>0</v>
      </c>
      <c r="AO356">
        <v>0</v>
      </c>
      <c r="AP356" s="2">
        <v>42831</v>
      </c>
      <c r="AQ356" t="s">
        <v>72</v>
      </c>
      <c r="AR356" t="s">
        <v>72</v>
      </c>
      <c r="AS356">
        <v>303</v>
      </c>
      <c r="AT356" s="4">
        <v>42772</v>
      </c>
      <c r="AU356" t="s">
        <v>73</v>
      </c>
      <c r="AV356">
        <v>303</v>
      </c>
      <c r="AW356" s="4">
        <v>42772</v>
      </c>
      <c r="BD356">
        <v>0</v>
      </c>
      <c r="BN356" t="s">
        <v>74</v>
      </c>
    </row>
    <row r="357" spans="1:66">
      <c r="A357">
        <v>100371</v>
      </c>
      <c r="B357" t="s">
        <v>138</v>
      </c>
      <c r="C357" s="1">
        <v>43300101</v>
      </c>
      <c r="D357" t="s">
        <v>67</v>
      </c>
      <c r="H357" t="str">
        <f t="shared" si="45"/>
        <v>11629770154</v>
      </c>
      <c r="I357" t="str">
        <f t="shared" si="45"/>
        <v>11629770154</v>
      </c>
      <c r="K357" t="str">
        <f>""</f>
        <v/>
      </c>
      <c r="M357" t="s">
        <v>68</v>
      </c>
      <c r="N357" t="str">
        <f t="shared" si="46"/>
        <v>FOR</v>
      </c>
      <c r="O357" t="s">
        <v>69</v>
      </c>
      <c r="P357" t="s">
        <v>75</v>
      </c>
      <c r="Q357">
        <v>2016</v>
      </c>
      <c r="R357" s="4">
        <v>42521</v>
      </c>
      <c r="S357" s="2">
        <v>42537</v>
      </c>
      <c r="T357" s="2">
        <v>42534</v>
      </c>
      <c r="U357" s="4">
        <v>42594</v>
      </c>
      <c r="V357" t="s">
        <v>71</v>
      </c>
      <c r="W357" t="str">
        <f>"               34002"</f>
        <v xml:space="preserve">               34002</v>
      </c>
      <c r="X357" s="1">
        <v>1871.62</v>
      </c>
      <c r="Y357">
        <v>0</v>
      </c>
      <c r="Z357" s="5">
        <v>1858.16</v>
      </c>
      <c r="AA357" s="3">
        <v>178</v>
      </c>
      <c r="AB357" s="5">
        <v>330752.48</v>
      </c>
      <c r="AC357" s="1">
        <v>1858.16</v>
      </c>
      <c r="AD357">
        <v>178</v>
      </c>
      <c r="AE357" s="1">
        <v>330752.48</v>
      </c>
      <c r="AF357">
        <v>0</v>
      </c>
      <c r="AJ357">
        <v>0</v>
      </c>
      <c r="AK357">
        <v>0</v>
      </c>
      <c r="AL357">
        <v>0</v>
      </c>
      <c r="AM357">
        <v>0</v>
      </c>
      <c r="AN357">
        <v>0</v>
      </c>
      <c r="AO357">
        <v>0</v>
      </c>
      <c r="AP357" s="2">
        <v>42831</v>
      </c>
      <c r="AQ357" t="s">
        <v>72</v>
      </c>
      <c r="AR357" t="s">
        <v>72</v>
      </c>
      <c r="AS357">
        <v>303</v>
      </c>
      <c r="AT357" s="4">
        <v>42772</v>
      </c>
      <c r="AU357" t="s">
        <v>73</v>
      </c>
      <c r="AV357">
        <v>303</v>
      </c>
      <c r="AW357" s="4">
        <v>42772</v>
      </c>
      <c r="BD357">
        <v>0</v>
      </c>
      <c r="BN357" t="s">
        <v>74</v>
      </c>
    </row>
    <row r="358" spans="1:66">
      <c r="A358">
        <v>100371</v>
      </c>
      <c r="B358" t="s">
        <v>138</v>
      </c>
      <c r="C358" s="1">
        <v>43300101</v>
      </c>
      <c r="D358" t="s">
        <v>67</v>
      </c>
      <c r="H358" t="str">
        <f t="shared" si="45"/>
        <v>11629770154</v>
      </c>
      <c r="I358" t="str">
        <f t="shared" si="45"/>
        <v>11629770154</v>
      </c>
      <c r="K358" t="str">
        <f>""</f>
        <v/>
      </c>
      <c r="M358" t="s">
        <v>68</v>
      </c>
      <c r="N358" t="str">
        <f t="shared" si="46"/>
        <v>FOR</v>
      </c>
      <c r="O358" t="s">
        <v>69</v>
      </c>
      <c r="P358" t="s">
        <v>75</v>
      </c>
      <c r="Q358">
        <v>2016</v>
      </c>
      <c r="R358" s="4">
        <v>42551</v>
      </c>
      <c r="S358" s="2">
        <v>42565</v>
      </c>
      <c r="T358" s="2">
        <v>42564</v>
      </c>
      <c r="U358" s="4">
        <v>42624</v>
      </c>
      <c r="V358" t="s">
        <v>71</v>
      </c>
      <c r="W358" t="str">
        <f>"               42009"</f>
        <v xml:space="preserve">               42009</v>
      </c>
      <c r="X358" s="1">
        <v>2725.78</v>
      </c>
      <c r="Y358">
        <v>0</v>
      </c>
      <c r="Z358" s="5">
        <v>2704.16</v>
      </c>
      <c r="AA358" s="3">
        <v>172</v>
      </c>
      <c r="AB358" s="5">
        <v>465115.52</v>
      </c>
      <c r="AC358" s="1">
        <v>2704.16</v>
      </c>
      <c r="AD358">
        <v>172</v>
      </c>
      <c r="AE358" s="1">
        <v>465115.52</v>
      </c>
      <c r="AF358">
        <v>21.62</v>
      </c>
      <c r="AJ358">
        <v>0</v>
      </c>
      <c r="AK358">
        <v>0</v>
      </c>
      <c r="AL358">
        <v>0</v>
      </c>
      <c r="AM358">
        <v>0</v>
      </c>
      <c r="AN358">
        <v>0</v>
      </c>
      <c r="AO358">
        <v>0</v>
      </c>
      <c r="AP358" s="2">
        <v>42831</v>
      </c>
      <c r="AQ358" t="s">
        <v>72</v>
      </c>
      <c r="AR358" t="s">
        <v>72</v>
      </c>
      <c r="AS358">
        <v>690</v>
      </c>
      <c r="AT358" s="4">
        <v>42796</v>
      </c>
      <c r="AU358" t="s">
        <v>73</v>
      </c>
      <c r="AV358">
        <v>690</v>
      </c>
      <c r="AW358" s="4">
        <v>42796</v>
      </c>
      <c r="BD358">
        <v>21.62</v>
      </c>
      <c r="BN358" t="s">
        <v>74</v>
      </c>
    </row>
    <row r="359" spans="1:66">
      <c r="A359">
        <v>100371</v>
      </c>
      <c r="B359" t="s">
        <v>138</v>
      </c>
      <c r="C359" s="1">
        <v>43300101</v>
      </c>
      <c r="D359" t="s">
        <v>67</v>
      </c>
      <c r="H359" t="str">
        <f t="shared" si="45"/>
        <v>11629770154</v>
      </c>
      <c r="I359" t="str">
        <f t="shared" si="45"/>
        <v>11629770154</v>
      </c>
      <c r="K359" t="str">
        <f>""</f>
        <v/>
      </c>
      <c r="M359" t="s">
        <v>68</v>
      </c>
      <c r="N359" t="str">
        <f t="shared" si="46"/>
        <v>FOR</v>
      </c>
      <c r="O359" t="s">
        <v>69</v>
      </c>
      <c r="P359" t="s">
        <v>75</v>
      </c>
      <c r="Q359">
        <v>2016</v>
      </c>
      <c r="R359" s="4">
        <v>42551</v>
      </c>
      <c r="S359" s="2">
        <v>42565</v>
      </c>
      <c r="T359" s="2">
        <v>42564</v>
      </c>
      <c r="U359" s="4">
        <v>42624</v>
      </c>
      <c r="V359" t="s">
        <v>71</v>
      </c>
      <c r="W359" t="str">
        <f>"               42011"</f>
        <v xml:space="preserve">               42011</v>
      </c>
      <c r="X359" s="1">
        <v>4238.99</v>
      </c>
      <c r="Y359">
        <v>0</v>
      </c>
      <c r="Z359" s="5">
        <v>4205.3599999999997</v>
      </c>
      <c r="AA359" s="3">
        <v>172</v>
      </c>
      <c r="AB359" s="5">
        <v>723321.92</v>
      </c>
      <c r="AC359" s="1">
        <v>4205.3599999999997</v>
      </c>
      <c r="AD359">
        <v>172</v>
      </c>
      <c r="AE359" s="1">
        <v>723321.92</v>
      </c>
      <c r="AF359">
        <v>33.630000000000003</v>
      </c>
      <c r="AJ359">
        <v>0</v>
      </c>
      <c r="AK359">
        <v>0</v>
      </c>
      <c r="AL359">
        <v>0</v>
      </c>
      <c r="AM359">
        <v>0</v>
      </c>
      <c r="AN359">
        <v>0</v>
      </c>
      <c r="AO359">
        <v>0</v>
      </c>
      <c r="AP359" s="2">
        <v>42831</v>
      </c>
      <c r="AQ359" t="s">
        <v>72</v>
      </c>
      <c r="AR359" t="s">
        <v>72</v>
      </c>
      <c r="AS359">
        <v>690</v>
      </c>
      <c r="AT359" s="4">
        <v>42796</v>
      </c>
      <c r="AU359" t="s">
        <v>73</v>
      </c>
      <c r="AV359">
        <v>690</v>
      </c>
      <c r="AW359" s="4">
        <v>42796</v>
      </c>
      <c r="BD359">
        <v>33.630000000000003</v>
      </c>
      <c r="BN359" t="s">
        <v>74</v>
      </c>
    </row>
    <row r="360" spans="1:66">
      <c r="A360">
        <v>100371</v>
      </c>
      <c r="B360" t="s">
        <v>138</v>
      </c>
      <c r="C360" s="1">
        <v>43300101</v>
      </c>
      <c r="D360" t="s">
        <v>67</v>
      </c>
      <c r="H360" t="str">
        <f t="shared" si="45"/>
        <v>11629770154</v>
      </c>
      <c r="I360" t="str">
        <f t="shared" si="45"/>
        <v>11629770154</v>
      </c>
      <c r="K360" t="str">
        <f>""</f>
        <v/>
      </c>
      <c r="M360" t="s">
        <v>68</v>
      </c>
      <c r="N360" t="str">
        <f t="shared" si="46"/>
        <v>FOR</v>
      </c>
      <c r="O360" t="s">
        <v>69</v>
      </c>
      <c r="P360" t="s">
        <v>75</v>
      </c>
      <c r="Q360">
        <v>2016</v>
      </c>
      <c r="R360" s="4">
        <v>42551</v>
      </c>
      <c r="S360" s="2">
        <v>42565</v>
      </c>
      <c r="T360" s="2">
        <v>42564</v>
      </c>
      <c r="U360" s="4">
        <v>42624</v>
      </c>
      <c r="V360" t="s">
        <v>71</v>
      </c>
      <c r="W360" t="str">
        <f>"               42079"</f>
        <v xml:space="preserve">               42079</v>
      </c>
      <c r="X360" s="1">
        <v>10492.67</v>
      </c>
      <c r="Y360">
        <v>0</v>
      </c>
      <c r="Z360" s="5">
        <v>10417.120000000001</v>
      </c>
      <c r="AA360" s="3">
        <v>172</v>
      </c>
      <c r="AB360" s="5">
        <v>1791744.64</v>
      </c>
      <c r="AC360" s="1">
        <v>10417.120000000001</v>
      </c>
      <c r="AD360">
        <v>172</v>
      </c>
      <c r="AE360" s="1">
        <v>1791744.64</v>
      </c>
      <c r="AF360">
        <v>75.55</v>
      </c>
      <c r="AJ360">
        <v>0</v>
      </c>
      <c r="AK360">
        <v>0</v>
      </c>
      <c r="AL360">
        <v>0</v>
      </c>
      <c r="AM360">
        <v>0</v>
      </c>
      <c r="AN360">
        <v>0</v>
      </c>
      <c r="AO360">
        <v>0</v>
      </c>
      <c r="AP360" s="2">
        <v>42831</v>
      </c>
      <c r="AQ360" t="s">
        <v>72</v>
      </c>
      <c r="AR360" t="s">
        <v>72</v>
      </c>
      <c r="AS360">
        <v>690</v>
      </c>
      <c r="AT360" s="4">
        <v>42796</v>
      </c>
      <c r="AU360" t="s">
        <v>73</v>
      </c>
      <c r="AV360">
        <v>690</v>
      </c>
      <c r="AW360" s="4">
        <v>42796</v>
      </c>
      <c r="BD360">
        <v>75.55</v>
      </c>
      <c r="BN360" t="s">
        <v>74</v>
      </c>
    </row>
    <row r="361" spans="1:66">
      <c r="A361">
        <v>100371</v>
      </c>
      <c r="B361" t="s">
        <v>138</v>
      </c>
      <c r="C361" s="1">
        <v>43300101</v>
      </c>
      <c r="D361" t="s">
        <v>67</v>
      </c>
      <c r="H361" t="str">
        <f t="shared" si="45"/>
        <v>11629770154</v>
      </c>
      <c r="I361" t="str">
        <f t="shared" si="45"/>
        <v>11629770154</v>
      </c>
      <c r="K361" t="str">
        <f>""</f>
        <v/>
      </c>
      <c r="M361" t="s">
        <v>68</v>
      </c>
      <c r="N361" t="str">
        <f t="shared" si="46"/>
        <v>FOR</v>
      </c>
      <c r="O361" t="s">
        <v>69</v>
      </c>
      <c r="P361" t="s">
        <v>75</v>
      </c>
      <c r="Q361">
        <v>2016</v>
      </c>
      <c r="R361" s="4">
        <v>42551</v>
      </c>
      <c r="S361" s="2">
        <v>42565</v>
      </c>
      <c r="T361" s="2">
        <v>42564</v>
      </c>
      <c r="U361" s="4">
        <v>42624</v>
      </c>
      <c r="V361" t="s">
        <v>71</v>
      </c>
      <c r="W361" t="str">
        <f>"               42080"</f>
        <v xml:space="preserve">               42080</v>
      </c>
      <c r="X361" s="1">
        <v>6380.99</v>
      </c>
      <c r="Y361">
        <v>0</v>
      </c>
      <c r="Z361" s="5">
        <v>6332.68</v>
      </c>
      <c r="AA361" s="3">
        <v>172</v>
      </c>
      <c r="AB361" s="5">
        <v>1089220.96</v>
      </c>
      <c r="AC361" s="1">
        <v>6332.68</v>
      </c>
      <c r="AD361">
        <v>172</v>
      </c>
      <c r="AE361" s="1">
        <v>1089220.96</v>
      </c>
      <c r="AF361">
        <v>48.31</v>
      </c>
      <c r="AJ361">
        <v>0</v>
      </c>
      <c r="AK361">
        <v>0</v>
      </c>
      <c r="AL361">
        <v>0</v>
      </c>
      <c r="AM361">
        <v>0</v>
      </c>
      <c r="AN361">
        <v>0</v>
      </c>
      <c r="AO361">
        <v>0</v>
      </c>
      <c r="AP361" s="2">
        <v>42831</v>
      </c>
      <c r="AQ361" t="s">
        <v>72</v>
      </c>
      <c r="AR361" t="s">
        <v>72</v>
      </c>
      <c r="AS361">
        <v>690</v>
      </c>
      <c r="AT361" s="4">
        <v>42796</v>
      </c>
      <c r="AU361" t="s">
        <v>73</v>
      </c>
      <c r="AV361">
        <v>690</v>
      </c>
      <c r="AW361" s="4">
        <v>42796</v>
      </c>
      <c r="BD361">
        <v>48.31</v>
      </c>
      <c r="BN361" t="s">
        <v>74</v>
      </c>
    </row>
    <row r="362" spans="1:66">
      <c r="A362">
        <v>100371</v>
      </c>
      <c r="B362" t="s">
        <v>138</v>
      </c>
      <c r="C362" s="1">
        <v>43300101</v>
      </c>
      <c r="D362" t="s">
        <v>67</v>
      </c>
      <c r="H362" t="str">
        <f t="shared" si="45"/>
        <v>11629770154</v>
      </c>
      <c r="I362" t="str">
        <f t="shared" si="45"/>
        <v>11629770154</v>
      </c>
      <c r="K362" t="str">
        <f>""</f>
        <v/>
      </c>
      <c r="M362" t="s">
        <v>68</v>
      </c>
      <c r="N362" t="str">
        <f t="shared" si="46"/>
        <v>FOR</v>
      </c>
      <c r="O362" t="s">
        <v>69</v>
      </c>
      <c r="P362" t="s">
        <v>75</v>
      </c>
      <c r="Q362">
        <v>2016</v>
      </c>
      <c r="R362" s="4">
        <v>42551</v>
      </c>
      <c r="S362" s="2">
        <v>42565</v>
      </c>
      <c r="T362" s="2">
        <v>42564</v>
      </c>
      <c r="U362" s="4">
        <v>42624</v>
      </c>
      <c r="V362" t="s">
        <v>71</v>
      </c>
      <c r="W362" t="str">
        <f>"               42081"</f>
        <v xml:space="preserve">               42081</v>
      </c>
      <c r="X362" s="1">
        <v>2183.23</v>
      </c>
      <c r="Y362">
        <v>0</v>
      </c>
      <c r="Z362" s="5">
        <v>2167.52</v>
      </c>
      <c r="AA362" s="3">
        <v>172</v>
      </c>
      <c r="AB362" s="5">
        <v>372813.44</v>
      </c>
      <c r="AC362" s="1">
        <v>2167.52</v>
      </c>
      <c r="AD362">
        <v>172</v>
      </c>
      <c r="AE362" s="1">
        <v>372813.44</v>
      </c>
      <c r="AF362">
        <v>15.71</v>
      </c>
      <c r="AJ362">
        <v>0</v>
      </c>
      <c r="AK362">
        <v>0</v>
      </c>
      <c r="AL362">
        <v>0</v>
      </c>
      <c r="AM362">
        <v>0</v>
      </c>
      <c r="AN362">
        <v>0</v>
      </c>
      <c r="AO362">
        <v>0</v>
      </c>
      <c r="AP362" s="2">
        <v>42831</v>
      </c>
      <c r="AQ362" t="s">
        <v>72</v>
      </c>
      <c r="AR362" t="s">
        <v>72</v>
      </c>
      <c r="AS362">
        <v>690</v>
      </c>
      <c r="AT362" s="4">
        <v>42796</v>
      </c>
      <c r="AU362" t="s">
        <v>73</v>
      </c>
      <c r="AV362">
        <v>690</v>
      </c>
      <c r="AW362" s="4">
        <v>42796</v>
      </c>
      <c r="BD362">
        <v>15.71</v>
      </c>
      <c r="BN362" t="s">
        <v>74</v>
      </c>
    </row>
    <row r="363" spans="1:66">
      <c r="A363">
        <v>100371</v>
      </c>
      <c r="B363" t="s">
        <v>138</v>
      </c>
      <c r="C363" s="1">
        <v>43300101</v>
      </c>
      <c r="D363" t="s">
        <v>67</v>
      </c>
      <c r="H363" t="str">
        <f t="shared" si="45"/>
        <v>11629770154</v>
      </c>
      <c r="I363" t="str">
        <f t="shared" si="45"/>
        <v>11629770154</v>
      </c>
      <c r="K363" t="str">
        <f>""</f>
        <v/>
      </c>
      <c r="M363" t="s">
        <v>68</v>
      </c>
      <c r="N363" t="str">
        <f t="shared" si="46"/>
        <v>FOR</v>
      </c>
      <c r="O363" t="s">
        <v>69</v>
      </c>
      <c r="P363" t="s">
        <v>75</v>
      </c>
      <c r="Q363">
        <v>2016</v>
      </c>
      <c r="R363" s="4">
        <v>42551</v>
      </c>
      <c r="S363" s="2">
        <v>42565</v>
      </c>
      <c r="T363" s="2">
        <v>42564</v>
      </c>
      <c r="U363" s="4">
        <v>42624</v>
      </c>
      <c r="V363" t="s">
        <v>71</v>
      </c>
      <c r="W363" t="str">
        <f>"               42204"</f>
        <v xml:space="preserve">               42204</v>
      </c>
      <c r="X363" s="1">
        <v>177274.58</v>
      </c>
      <c r="Y363">
        <v>0</v>
      </c>
      <c r="Z363" s="5">
        <v>176256.81</v>
      </c>
      <c r="AA363" s="3">
        <v>172</v>
      </c>
      <c r="AB363" s="5">
        <v>30316171.32</v>
      </c>
      <c r="AC363" s="1">
        <v>176256.81</v>
      </c>
      <c r="AD363">
        <v>172</v>
      </c>
      <c r="AE363" s="1">
        <v>30316171.32</v>
      </c>
      <c r="AF363" s="1">
        <v>1017.77</v>
      </c>
      <c r="AJ363">
        <v>0</v>
      </c>
      <c r="AK363">
        <v>0</v>
      </c>
      <c r="AL363">
        <v>0</v>
      </c>
      <c r="AM363">
        <v>0</v>
      </c>
      <c r="AN363">
        <v>0</v>
      </c>
      <c r="AO363">
        <v>0</v>
      </c>
      <c r="AP363" s="2">
        <v>42831</v>
      </c>
      <c r="AQ363" t="s">
        <v>72</v>
      </c>
      <c r="AR363" t="s">
        <v>72</v>
      </c>
      <c r="AS363">
        <v>690</v>
      </c>
      <c r="AT363" s="4">
        <v>42796</v>
      </c>
      <c r="AU363" t="s">
        <v>73</v>
      </c>
      <c r="AV363">
        <v>690</v>
      </c>
      <c r="AW363" s="4">
        <v>42796</v>
      </c>
      <c r="BD363" s="1">
        <v>1017.77</v>
      </c>
      <c r="BN363" t="s">
        <v>74</v>
      </c>
    </row>
    <row r="364" spans="1:66">
      <c r="A364">
        <v>100371</v>
      </c>
      <c r="B364" t="s">
        <v>138</v>
      </c>
      <c r="C364" s="1">
        <v>43300101</v>
      </c>
      <c r="D364" t="s">
        <v>67</v>
      </c>
      <c r="H364" t="str">
        <f t="shared" si="45"/>
        <v>11629770154</v>
      </c>
      <c r="I364" t="str">
        <f t="shared" si="45"/>
        <v>11629770154</v>
      </c>
      <c r="K364" t="str">
        <f>""</f>
        <v/>
      </c>
      <c r="M364" t="s">
        <v>68</v>
      </c>
      <c r="N364" t="str">
        <f t="shared" si="46"/>
        <v>FOR</v>
      </c>
      <c r="O364" t="s">
        <v>69</v>
      </c>
      <c r="P364" t="s">
        <v>75</v>
      </c>
      <c r="Q364">
        <v>2016</v>
      </c>
      <c r="R364" s="4">
        <v>42551</v>
      </c>
      <c r="S364" s="2">
        <v>42565</v>
      </c>
      <c r="T364" s="2">
        <v>42564</v>
      </c>
      <c r="U364" s="4">
        <v>42624</v>
      </c>
      <c r="V364" t="s">
        <v>71</v>
      </c>
      <c r="W364" t="str">
        <f>"               42205"</f>
        <v xml:space="preserve">               42205</v>
      </c>
      <c r="X364" s="1">
        <v>48392.79</v>
      </c>
      <c r="Y364">
        <v>0</v>
      </c>
      <c r="Z364" s="5">
        <v>48045.74</v>
      </c>
      <c r="AA364" s="3">
        <v>172</v>
      </c>
      <c r="AB364" s="5">
        <v>8263867.2800000003</v>
      </c>
      <c r="AC364" s="1">
        <v>48045.74</v>
      </c>
      <c r="AD364">
        <v>172</v>
      </c>
      <c r="AE364" s="1">
        <v>8263867.2800000003</v>
      </c>
      <c r="AF364">
        <v>347.05</v>
      </c>
      <c r="AJ364">
        <v>0</v>
      </c>
      <c r="AK364">
        <v>0</v>
      </c>
      <c r="AL364">
        <v>0</v>
      </c>
      <c r="AM364">
        <v>0</v>
      </c>
      <c r="AN364">
        <v>0</v>
      </c>
      <c r="AO364">
        <v>0</v>
      </c>
      <c r="AP364" s="2">
        <v>42831</v>
      </c>
      <c r="AQ364" t="s">
        <v>72</v>
      </c>
      <c r="AR364" t="s">
        <v>72</v>
      </c>
      <c r="AS364">
        <v>690</v>
      </c>
      <c r="AT364" s="4">
        <v>42796</v>
      </c>
      <c r="AU364" t="s">
        <v>73</v>
      </c>
      <c r="AV364">
        <v>690</v>
      </c>
      <c r="AW364" s="4">
        <v>42796</v>
      </c>
      <c r="BD364">
        <v>347.05</v>
      </c>
      <c r="BN364" t="s">
        <v>74</v>
      </c>
    </row>
    <row r="365" spans="1:66">
      <c r="A365">
        <v>100371</v>
      </c>
      <c r="B365" t="s">
        <v>138</v>
      </c>
      <c r="C365" s="1">
        <v>43300101</v>
      </c>
      <c r="D365" t="s">
        <v>67</v>
      </c>
      <c r="H365" t="str">
        <f t="shared" si="45"/>
        <v>11629770154</v>
      </c>
      <c r="I365" t="str">
        <f t="shared" si="45"/>
        <v>11629770154</v>
      </c>
      <c r="K365" t="str">
        <f>""</f>
        <v/>
      </c>
      <c r="M365" t="s">
        <v>68</v>
      </c>
      <c r="N365" t="str">
        <f t="shared" si="46"/>
        <v>FOR</v>
      </c>
      <c r="O365" t="s">
        <v>69</v>
      </c>
      <c r="P365" t="s">
        <v>75</v>
      </c>
      <c r="Q365">
        <v>2016</v>
      </c>
      <c r="R365" s="4">
        <v>42551</v>
      </c>
      <c r="S365" s="2">
        <v>42565</v>
      </c>
      <c r="T365" s="2">
        <v>42564</v>
      </c>
      <c r="U365" s="4">
        <v>42624</v>
      </c>
      <c r="V365" t="s">
        <v>71</v>
      </c>
      <c r="W365" t="str">
        <f>"               42206"</f>
        <v xml:space="preserve">               42206</v>
      </c>
      <c r="X365" s="1">
        <v>3255.93</v>
      </c>
      <c r="Y365">
        <v>0</v>
      </c>
      <c r="Z365" s="5">
        <v>3229.84</v>
      </c>
      <c r="AA365" s="3">
        <v>172</v>
      </c>
      <c r="AB365" s="5">
        <v>555532.48</v>
      </c>
      <c r="AC365" s="1">
        <v>3229.84</v>
      </c>
      <c r="AD365">
        <v>172</v>
      </c>
      <c r="AE365" s="1">
        <v>555532.48</v>
      </c>
      <c r="AF365">
        <v>26.09</v>
      </c>
      <c r="AJ365">
        <v>0</v>
      </c>
      <c r="AK365">
        <v>0</v>
      </c>
      <c r="AL365">
        <v>0</v>
      </c>
      <c r="AM365">
        <v>0</v>
      </c>
      <c r="AN365">
        <v>0</v>
      </c>
      <c r="AO365">
        <v>0</v>
      </c>
      <c r="AP365" s="2">
        <v>42831</v>
      </c>
      <c r="AQ365" t="s">
        <v>72</v>
      </c>
      <c r="AR365" t="s">
        <v>72</v>
      </c>
      <c r="AS365">
        <v>690</v>
      </c>
      <c r="AT365" s="4">
        <v>42796</v>
      </c>
      <c r="AU365" t="s">
        <v>73</v>
      </c>
      <c r="AV365">
        <v>690</v>
      </c>
      <c r="AW365" s="4">
        <v>42796</v>
      </c>
      <c r="BD365">
        <v>26.09</v>
      </c>
      <c r="BN365" t="s">
        <v>74</v>
      </c>
    </row>
    <row r="366" spans="1:66">
      <c r="A366">
        <v>100386</v>
      </c>
      <c r="B366" t="s">
        <v>139</v>
      </c>
      <c r="C366" s="1">
        <v>43300101</v>
      </c>
      <c r="D366" t="s">
        <v>67</v>
      </c>
      <c r="H366" t="str">
        <f>"00737420158"</f>
        <v>00737420158</v>
      </c>
      <c r="I366" t="str">
        <f>"00737420158"</f>
        <v>00737420158</v>
      </c>
      <c r="K366" t="str">
        <f>""</f>
        <v/>
      </c>
      <c r="M366" t="s">
        <v>68</v>
      </c>
      <c r="N366" t="str">
        <f t="shared" si="46"/>
        <v>FOR</v>
      </c>
      <c r="O366" t="s">
        <v>69</v>
      </c>
      <c r="P366" t="s">
        <v>75</v>
      </c>
      <c r="Q366">
        <v>2016</v>
      </c>
      <c r="R366" s="4">
        <v>42725</v>
      </c>
      <c r="S366" s="2">
        <v>42733</v>
      </c>
      <c r="T366" s="2">
        <v>42727</v>
      </c>
      <c r="U366" s="4">
        <v>42787</v>
      </c>
      <c r="V366" t="s">
        <v>71</v>
      </c>
      <c r="W366" t="str">
        <f>"             1633665"</f>
        <v xml:space="preserve">             1633665</v>
      </c>
      <c r="X366">
        <v>211.2</v>
      </c>
      <c r="Y366">
        <v>0</v>
      </c>
      <c r="Z366" s="5">
        <v>192</v>
      </c>
      <c r="AA366" s="3">
        <v>-19</v>
      </c>
      <c r="AB366" s="5">
        <v>-3648</v>
      </c>
      <c r="AC366">
        <v>192</v>
      </c>
      <c r="AD366">
        <v>-19</v>
      </c>
      <c r="AE366" s="1">
        <v>-3648</v>
      </c>
      <c r="AF366">
        <v>0</v>
      </c>
      <c r="AJ366">
        <v>0</v>
      </c>
      <c r="AK366">
        <v>0</v>
      </c>
      <c r="AL366">
        <v>0</v>
      </c>
      <c r="AM366">
        <v>0</v>
      </c>
      <c r="AN366">
        <v>0</v>
      </c>
      <c r="AO366">
        <v>0</v>
      </c>
      <c r="AP366" s="2">
        <v>42831</v>
      </c>
      <c r="AQ366" t="s">
        <v>72</v>
      </c>
      <c r="AR366" t="s">
        <v>72</v>
      </c>
      <c r="AS366">
        <v>246</v>
      </c>
      <c r="AT366" s="4">
        <v>42768</v>
      </c>
      <c r="AV366">
        <v>246</v>
      </c>
      <c r="AW366" s="4">
        <v>42768</v>
      </c>
      <c r="BD366">
        <v>0</v>
      </c>
      <c r="BN366" t="s">
        <v>74</v>
      </c>
    </row>
    <row r="367" spans="1:66" hidden="1">
      <c r="A367">
        <v>100387</v>
      </c>
      <c r="B367" t="s">
        <v>140</v>
      </c>
      <c r="C367" s="1">
        <v>43500101</v>
      </c>
      <c r="D367" t="s">
        <v>98</v>
      </c>
      <c r="H367" t="str">
        <f>""</f>
        <v/>
      </c>
      <c r="I367" t="str">
        <f>""</f>
        <v/>
      </c>
      <c r="K367" t="str">
        <f>""</f>
        <v/>
      </c>
      <c r="M367" t="s">
        <v>68</v>
      </c>
      <c r="N367" t="str">
        <f>"ALTFIN"</f>
        <v>ALTFIN</v>
      </c>
      <c r="O367" t="s">
        <v>102</v>
      </c>
      <c r="P367" t="s">
        <v>82</v>
      </c>
      <c r="Q367">
        <v>2017</v>
      </c>
      <c r="R367" s="4">
        <v>42755</v>
      </c>
      <c r="S367" s="2">
        <v>42755</v>
      </c>
      <c r="T367" s="2">
        <v>42755</v>
      </c>
      <c r="U367" s="4">
        <v>42815</v>
      </c>
      <c r="V367" t="s">
        <v>71</v>
      </c>
      <c r="W367" t="str">
        <f>"                0120"</f>
        <v xml:space="preserve">                0120</v>
      </c>
      <c r="X367">
        <v>0</v>
      </c>
      <c r="Y367" s="1">
        <v>1630.9</v>
      </c>
      <c r="Z367" s="5">
        <v>1630.9</v>
      </c>
      <c r="AA367" s="3">
        <v>-57</v>
      </c>
      <c r="AB367" s="5">
        <v>-92961.3</v>
      </c>
      <c r="AC367" s="1">
        <v>1630.9</v>
      </c>
      <c r="AD367">
        <v>-57</v>
      </c>
      <c r="AE367" s="1">
        <v>-92961.3</v>
      </c>
      <c r="AF367">
        <v>0</v>
      </c>
      <c r="AJ367" s="1">
        <v>1630.9</v>
      </c>
      <c r="AK367" s="1">
        <v>1630.9</v>
      </c>
      <c r="AL367" s="1">
        <v>1630.9</v>
      </c>
      <c r="AM367" s="1">
        <v>1630.9</v>
      </c>
      <c r="AN367" s="1">
        <v>1630.9</v>
      </c>
      <c r="AO367" s="1">
        <v>1630.9</v>
      </c>
      <c r="AP367" s="2">
        <v>42831</v>
      </c>
      <c r="AQ367" t="s">
        <v>72</v>
      </c>
      <c r="AR367" t="s">
        <v>72</v>
      </c>
      <c r="AS367">
        <v>28</v>
      </c>
      <c r="AT367" s="4">
        <v>42758</v>
      </c>
      <c r="AV367">
        <v>28</v>
      </c>
      <c r="AW367" s="4">
        <v>42758</v>
      </c>
      <c r="BD367">
        <v>0</v>
      </c>
      <c r="BN367" t="s">
        <v>74</v>
      </c>
    </row>
    <row r="368" spans="1:66" hidden="1">
      <c r="A368">
        <v>100387</v>
      </c>
      <c r="B368" t="s">
        <v>140</v>
      </c>
      <c r="C368" s="1">
        <v>43500101</v>
      </c>
      <c r="D368" t="s">
        <v>98</v>
      </c>
      <c r="H368" t="str">
        <f>""</f>
        <v/>
      </c>
      <c r="I368" t="str">
        <f>""</f>
        <v/>
      </c>
      <c r="K368" t="str">
        <f>""</f>
        <v/>
      </c>
      <c r="M368" t="s">
        <v>68</v>
      </c>
      <c r="N368" t="str">
        <f>"ALTFIN"</f>
        <v>ALTFIN</v>
      </c>
      <c r="O368" t="s">
        <v>102</v>
      </c>
      <c r="P368" t="s">
        <v>83</v>
      </c>
      <c r="Q368">
        <v>2017</v>
      </c>
      <c r="R368" s="4">
        <v>42786</v>
      </c>
      <c r="S368" s="2">
        <v>42787</v>
      </c>
      <c r="T368" s="2">
        <v>42787</v>
      </c>
      <c r="U368" s="4">
        <v>42847</v>
      </c>
      <c r="V368" t="s">
        <v>71</v>
      </c>
      <c r="W368" t="str">
        <f>"                0220"</f>
        <v xml:space="preserve">                0220</v>
      </c>
      <c r="X368">
        <v>0</v>
      </c>
      <c r="Y368" s="1">
        <v>1629.37</v>
      </c>
      <c r="Z368" s="5">
        <v>1629.37</v>
      </c>
      <c r="AA368" s="3">
        <v>-60</v>
      </c>
      <c r="AB368" s="5">
        <v>-97762.2</v>
      </c>
      <c r="AC368" s="1">
        <v>1629.37</v>
      </c>
      <c r="AD368">
        <v>-60</v>
      </c>
      <c r="AE368" s="1">
        <v>-97762.2</v>
      </c>
      <c r="AF368">
        <v>0</v>
      </c>
      <c r="AJ368" s="1">
        <v>1629.37</v>
      </c>
      <c r="AK368" s="1">
        <v>1629.37</v>
      </c>
      <c r="AL368" s="1">
        <v>1629.37</v>
      </c>
      <c r="AM368" s="1">
        <v>1629.37</v>
      </c>
      <c r="AN368" s="1">
        <v>1629.37</v>
      </c>
      <c r="AO368" s="1">
        <v>1629.37</v>
      </c>
      <c r="AP368" s="2">
        <v>42831</v>
      </c>
      <c r="AQ368" t="s">
        <v>72</v>
      </c>
      <c r="AR368" t="s">
        <v>72</v>
      </c>
      <c r="AS368">
        <v>508</v>
      </c>
      <c r="AT368" s="4">
        <v>42787</v>
      </c>
      <c r="AV368">
        <v>508</v>
      </c>
      <c r="AW368" s="4">
        <v>42787</v>
      </c>
      <c r="BD368">
        <v>0</v>
      </c>
      <c r="BN368" t="s">
        <v>74</v>
      </c>
    </row>
    <row r="369" spans="1:66" hidden="1">
      <c r="A369">
        <v>100387</v>
      </c>
      <c r="B369" t="s">
        <v>140</v>
      </c>
      <c r="C369" s="1">
        <v>43500101</v>
      </c>
      <c r="D369" t="s">
        <v>98</v>
      </c>
      <c r="H369" t="str">
        <f>""</f>
        <v/>
      </c>
      <c r="I369" t="str">
        <f>""</f>
        <v/>
      </c>
      <c r="K369" t="str">
        <f>""</f>
        <v/>
      </c>
      <c r="M369" t="s">
        <v>68</v>
      </c>
      <c r="N369" t="str">
        <f>"ALTFIN"</f>
        <v>ALTFIN</v>
      </c>
      <c r="O369" t="s">
        <v>102</v>
      </c>
      <c r="P369" t="s">
        <v>84</v>
      </c>
      <c r="Q369">
        <v>2017</v>
      </c>
      <c r="R369" s="4">
        <v>42815</v>
      </c>
      <c r="S369" s="2">
        <v>42815</v>
      </c>
      <c r="T369" s="2">
        <v>42815</v>
      </c>
      <c r="U369" s="4">
        <v>42875</v>
      </c>
      <c r="V369" t="s">
        <v>71</v>
      </c>
      <c r="W369" t="str">
        <f>"                0321"</f>
        <v xml:space="preserve">                0321</v>
      </c>
      <c r="X369">
        <v>0</v>
      </c>
      <c r="Y369" s="1">
        <v>1635.81</v>
      </c>
      <c r="Z369" s="5">
        <v>1635.81</v>
      </c>
      <c r="AA369" s="3">
        <v>-60</v>
      </c>
      <c r="AB369" s="5">
        <v>-98148.6</v>
      </c>
      <c r="AC369" s="1">
        <v>1635.81</v>
      </c>
      <c r="AD369">
        <v>-60</v>
      </c>
      <c r="AE369" s="1">
        <v>-98148.6</v>
      </c>
      <c r="AF369">
        <v>0</v>
      </c>
      <c r="AJ369" s="1">
        <v>1635.81</v>
      </c>
      <c r="AK369" s="1">
        <v>1635.81</v>
      </c>
      <c r="AL369" s="1">
        <v>1635.81</v>
      </c>
      <c r="AM369" s="1">
        <v>1635.81</v>
      </c>
      <c r="AN369" s="1">
        <v>1635.81</v>
      </c>
      <c r="AO369" s="1">
        <v>1635.81</v>
      </c>
      <c r="AP369" s="2">
        <v>42831</v>
      </c>
      <c r="AQ369" t="s">
        <v>72</v>
      </c>
      <c r="AR369" t="s">
        <v>72</v>
      </c>
      <c r="AS369">
        <v>805</v>
      </c>
      <c r="AT369" s="4">
        <v>42815</v>
      </c>
      <c r="AV369">
        <v>805</v>
      </c>
      <c r="AW369" s="4">
        <v>42815</v>
      </c>
      <c r="BD369">
        <v>0</v>
      </c>
      <c r="BN369" t="s">
        <v>74</v>
      </c>
    </row>
    <row r="370" spans="1:66">
      <c r="A370">
        <v>100408</v>
      </c>
      <c r="B370" t="s">
        <v>141</v>
      </c>
      <c r="C370" s="1">
        <v>43300101</v>
      </c>
      <c r="D370" t="s">
        <v>67</v>
      </c>
      <c r="H370" t="str">
        <f>"04090050966"</f>
        <v>04090050966</v>
      </c>
      <c r="I370" t="str">
        <f>"04090050966"</f>
        <v>04090050966</v>
      </c>
      <c r="K370" t="str">
        <f>""</f>
        <v/>
      </c>
      <c r="M370" t="s">
        <v>68</v>
      </c>
      <c r="N370" t="str">
        <f t="shared" ref="N370:N386" si="47">"FOR"</f>
        <v>FOR</v>
      </c>
      <c r="O370" t="s">
        <v>69</v>
      </c>
      <c r="P370" t="s">
        <v>75</v>
      </c>
      <c r="Q370">
        <v>2016</v>
      </c>
      <c r="R370" s="4">
        <v>42677</v>
      </c>
      <c r="S370" s="2">
        <v>42677</v>
      </c>
      <c r="T370" s="2">
        <v>42677</v>
      </c>
      <c r="U370" s="4">
        <v>42737</v>
      </c>
      <c r="V370" t="s">
        <v>71</v>
      </c>
      <c r="W370" t="str">
        <f>"                0173"</f>
        <v xml:space="preserve">                0173</v>
      </c>
      <c r="X370" s="1">
        <v>2074</v>
      </c>
      <c r="Y370">
        <v>0</v>
      </c>
      <c r="Z370" s="5">
        <v>1700</v>
      </c>
      <c r="AA370" s="3">
        <v>36</v>
      </c>
      <c r="AB370" s="5">
        <v>61200</v>
      </c>
      <c r="AC370" s="1">
        <v>1700</v>
      </c>
      <c r="AD370">
        <v>36</v>
      </c>
      <c r="AE370" s="1">
        <v>61200</v>
      </c>
      <c r="AF370">
        <v>0</v>
      </c>
      <c r="AJ370">
        <v>0</v>
      </c>
      <c r="AK370">
        <v>0</v>
      </c>
      <c r="AL370">
        <v>0</v>
      </c>
      <c r="AM370">
        <v>0</v>
      </c>
      <c r="AN370">
        <v>0</v>
      </c>
      <c r="AO370">
        <v>0</v>
      </c>
      <c r="AP370" s="2">
        <v>42831</v>
      </c>
      <c r="AQ370" t="s">
        <v>72</v>
      </c>
      <c r="AR370" t="s">
        <v>72</v>
      </c>
      <c r="AS370">
        <v>311</v>
      </c>
      <c r="AT370" s="4">
        <v>42773</v>
      </c>
      <c r="AU370" t="s">
        <v>73</v>
      </c>
      <c r="AV370">
        <v>311</v>
      </c>
      <c r="AW370" s="4">
        <v>42773</v>
      </c>
      <c r="BD370">
        <v>0</v>
      </c>
      <c r="BN370" t="s">
        <v>74</v>
      </c>
    </row>
    <row r="371" spans="1:66">
      <c r="A371">
        <v>100408</v>
      </c>
      <c r="B371" t="s">
        <v>141</v>
      </c>
      <c r="C371" s="1">
        <v>43300101</v>
      </c>
      <c r="D371" t="s">
        <v>67</v>
      </c>
      <c r="H371" t="str">
        <f>"04090050966"</f>
        <v>04090050966</v>
      </c>
      <c r="I371" t="str">
        <f>"04090050966"</f>
        <v>04090050966</v>
      </c>
      <c r="K371" t="str">
        <f>""</f>
        <v/>
      </c>
      <c r="M371" t="s">
        <v>68</v>
      </c>
      <c r="N371" t="str">
        <f t="shared" si="47"/>
        <v>FOR</v>
      </c>
      <c r="O371" t="s">
        <v>69</v>
      </c>
      <c r="P371" t="s">
        <v>75</v>
      </c>
      <c r="Q371">
        <v>2016</v>
      </c>
      <c r="R371" s="4">
        <v>42724</v>
      </c>
      <c r="S371" s="2">
        <v>42725</v>
      </c>
      <c r="T371" s="2">
        <v>42724</v>
      </c>
      <c r="U371" s="4">
        <v>42784</v>
      </c>
      <c r="V371" t="s">
        <v>71</v>
      </c>
      <c r="W371" t="str">
        <f>"                0200"</f>
        <v xml:space="preserve">                0200</v>
      </c>
      <c r="X371">
        <v>610</v>
      </c>
      <c r="Y371">
        <v>0</v>
      </c>
      <c r="Z371" s="5">
        <v>500</v>
      </c>
      <c r="AA371" s="3">
        <v>9</v>
      </c>
      <c r="AB371" s="5">
        <v>4500</v>
      </c>
      <c r="AC371">
        <v>500</v>
      </c>
      <c r="AD371">
        <v>9</v>
      </c>
      <c r="AE371" s="1">
        <v>4500</v>
      </c>
      <c r="AF371">
        <v>0</v>
      </c>
      <c r="AJ371">
        <v>0</v>
      </c>
      <c r="AK371">
        <v>0</v>
      </c>
      <c r="AL371">
        <v>0</v>
      </c>
      <c r="AM371">
        <v>0</v>
      </c>
      <c r="AN371">
        <v>0</v>
      </c>
      <c r="AO371">
        <v>0</v>
      </c>
      <c r="AP371" s="2">
        <v>42831</v>
      </c>
      <c r="AQ371" t="s">
        <v>72</v>
      </c>
      <c r="AR371" t="s">
        <v>72</v>
      </c>
      <c r="AS371">
        <v>612</v>
      </c>
      <c r="AT371" s="4">
        <v>42793</v>
      </c>
      <c r="AU371" t="s">
        <v>73</v>
      </c>
      <c r="AV371">
        <v>612</v>
      </c>
      <c r="AW371" s="4">
        <v>42793</v>
      </c>
      <c r="BD371">
        <v>0</v>
      </c>
      <c r="BN371" t="s">
        <v>74</v>
      </c>
    </row>
    <row r="372" spans="1:66">
      <c r="A372">
        <v>100419</v>
      </c>
      <c r="B372" t="s">
        <v>142</v>
      </c>
      <c r="C372" s="1">
        <v>43300101</v>
      </c>
      <c r="D372" t="s">
        <v>67</v>
      </c>
      <c r="H372" t="str">
        <f>"04874470968"</f>
        <v>04874470968</v>
      </c>
      <c r="I372" t="str">
        <f>"04874470968"</f>
        <v>04874470968</v>
      </c>
      <c r="K372" t="str">
        <f>""</f>
        <v/>
      </c>
      <c r="M372" t="s">
        <v>68</v>
      </c>
      <c r="N372" t="str">
        <f t="shared" si="47"/>
        <v>FOR</v>
      </c>
      <c r="O372" t="s">
        <v>69</v>
      </c>
      <c r="P372" t="s">
        <v>75</v>
      </c>
      <c r="Q372">
        <v>2016</v>
      </c>
      <c r="R372" s="4">
        <v>42674</v>
      </c>
      <c r="S372" s="2">
        <v>42682</v>
      </c>
      <c r="T372" s="2">
        <v>42682</v>
      </c>
      <c r="U372" s="4">
        <v>42742</v>
      </c>
      <c r="V372" t="s">
        <v>71</v>
      </c>
      <c r="W372" t="str">
        <f>"        20160704 /PA"</f>
        <v xml:space="preserve">        20160704 /PA</v>
      </c>
      <c r="X372" s="1">
        <v>3708.95</v>
      </c>
      <c r="Y372">
        <v>0</v>
      </c>
      <c r="Z372" s="5">
        <v>3566.3</v>
      </c>
      <c r="AA372" s="3">
        <v>26</v>
      </c>
      <c r="AB372" s="5">
        <v>92723.8</v>
      </c>
      <c r="AC372" s="1">
        <v>3566.3</v>
      </c>
      <c r="AD372">
        <v>26</v>
      </c>
      <c r="AE372" s="1">
        <v>92723.8</v>
      </c>
      <c r="AF372">
        <v>0</v>
      </c>
      <c r="AJ372">
        <v>0</v>
      </c>
      <c r="AK372">
        <v>0</v>
      </c>
      <c r="AL372">
        <v>0</v>
      </c>
      <c r="AM372">
        <v>0</v>
      </c>
      <c r="AN372">
        <v>0</v>
      </c>
      <c r="AO372">
        <v>0</v>
      </c>
      <c r="AP372" s="2">
        <v>42831</v>
      </c>
      <c r="AQ372" t="s">
        <v>72</v>
      </c>
      <c r="AR372" t="s">
        <v>72</v>
      </c>
      <c r="AS372">
        <v>260</v>
      </c>
      <c r="AT372" s="4">
        <v>42768</v>
      </c>
      <c r="AU372" t="s">
        <v>73</v>
      </c>
      <c r="AV372">
        <v>260</v>
      </c>
      <c r="AW372" s="4">
        <v>42768</v>
      </c>
      <c r="BD372">
        <v>0</v>
      </c>
      <c r="BN372" t="s">
        <v>74</v>
      </c>
    </row>
    <row r="373" spans="1:66">
      <c r="A373">
        <v>100435</v>
      </c>
      <c r="B373" t="s">
        <v>143</v>
      </c>
      <c r="C373" s="1">
        <v>43300101</v>
      </c>
      <c r="D373" t="s">
        <v>67</v>
      </c>
      <c r="H373" t="str">
        <f>"00872990627"</f>
        <v>00872990627</v>
      </c>
      <c r="I373" t="str">
        <f>"00872990627"</f>
        <v>00872990627</v>
      </c>
      <c r="K373" t="str">
        <f>""</f>
        <v/>
      </c>
      <c r="M373" t="s">
        <v>68</v>
      </c>
      <c r="N373" t="str">
        <f t="shared" si="47"/>
        <v>FOR</v>
      </c>
      <c r="O373" t="s">
        <v>69</v>
      </c>
      <c r="P373" t="s">
        <v>75</v>
      </c>
      <c r="Q373">
        <v>2016</v>
      </c>
      <c r="R373" s="4">
        <v>42460</v>
      </c>
      <c r="S373" s="2">
        <v>42486</v>
      </c>
      <c r="T373" s="2">
        <v>42483</v>
      </c>
      <c r="U373" s="4">
        <v>42543</v>
      </c>
      <c r="V373" t="s">
        <v>71</v>
      </c>
      <c r="W373" t="str">
        <f>"         FATTPA 7_16"</f>
        <v xml:space="preserve">         FATTPA 7_16</v>
      </c>
      <c r="X373">
        <v>785.68</v>
      </c>
      <c r="Y373">
        <v>0</v>
      </c>
      <c r="Z373" s="5">
        <v>644</v>
      </c>
      <c r="AA373" s="3">
        <v>225</v>
      </c>
      <c r="AB373" s="5">
        <v>144900</v>
      </c>
      <c r="AC373">
        <v>644</v>
      </c>
      <c r="AD373">
        <v>225</v>
      </c>
      <c r="AE373" s="1">
        <v>144900</v>
      </c>
      <c r="AF373">
        <v>0</v>
      </c>
      <c r="AJ373">
        <v>0</v>
      </c>
      <c r="AK373">
        <v>0</v>
      </c>
      <c r="AL373">
        <v>0</v>
      </c>
      <c r="AM373">
        <v>0</v>
      </c>
      <c r="AN373">
        <v>0</v>
      </c>
      <c r="AO373">
        <v>0</v>
      </c>
      <c r="AP373" s="2">
        <v>42831</v>
      </c>
      <c r="AQ373" t="s">
        <v>72</v>
      </c>
      <c r="AR373" t="s">
        <v>72</v>
      </c>
      <c r="AS373">
        <v>223</v>
      </c>
      <c r="AT373" s="4">
        <v>42768</v>
      </c>
      <c r="AU373" t="s">
        <v>73</v>
      </c>
      <c r="AV373">
        <v>223</v>
      </c>
      <c r="AW373" s="4">
        <v>42768</v>
      </c>
      <c r="BD373">
        <v>0</v>
      </c>
      <c r="BN373" t="s">
        <v>74</v>
      </c>
    </row>
    <row r="374" spans="1:66">
      <c r="A374">
        <v>100449</v>
      </c>
      <c r="B374" t="s">
        <v>144</v>
      </c>
      <c r="C374" s="1">
        <v>43300101</v>
      </c>
      <c r="D374" t="s">
        <v>67</v>
      </c>
      <c r="H374" t="str">
        <f t="shared" ref="H374:I386" si="48">"00153730627"</f>
        <v>00153730627</v>
      </c>
      <c r="I374" t="str">
        <f t="shared" si="48"/>
        <v>00153730627</v>
      </c>
      <c r="K374" t="str">
        <f>""</f>
        <v/>
      </c>
      <c r="M374" t="s">
        <v>68</v>
      </c>
      <c r="N374" t="str">
        <f t="shared" si="47"/>
        <v>FOR</v>
      </c>
      <c r="O374" t="s">
        <v>69</v>
      </c>
      <c r="P374" t="s">
        <v>75</v>
      </c>
      <c r="Q374">
        <v>2016</v>
      </c>
      <c r="R374" s="4">
        <v>42674</v>
      </c>
      <c r="S374" s="2">
        <v>42677</v>
      </c>
      <c r="T374" s="2">
        <v>42676</v>
      </c>
      <c r="U374" s="4">
        <v>42736</v>
      </c>
      <c r="V374" t="s">
        <v>71</v>
      </c>
      <c r="W374" t="str">
        <f>"          2016   212"</f>
        <v xml:space="preserve">          2016   212</v>
      </c>
      <c r="X374" s="1">
        <v>2501</v>
      </c>
      <c r="Y374">
        <v>0</v>
      </c>
      <c r="Z374" s="5">
        <v>2050</v>
      </c>
      <c r="AA374" s="3">
        <v>40</v>
      </c>
      <c r="AB374" s="5">
        <v>82000</v>
      </c>
      <c r="AC374" s="1">
        <v>2050</v>
      </c>
      <c r="AD374">
        <v>40</v>
      </c>
      <c r="AE374" s="1">
        <v>82000</v>
      </c>
      <c r="AF374">
        <v>0</v>
      </c>
      <c r="AJ374">
        <v>0</v>
      </c>
      <c r="AK374">
        <v>0</v>
      </c>
      <c r="AL374">
        <v>0</v>
      </c>
      <c r="AM374">
        <v>0</v>
      </c>
      <c r="AN374">
        <v>0</v>
      </c>
      <c r="AO374">
        <v>0</v>
      </c>
      <c r="AP374" s="2">
        <v>42831</v>
      </c>
      <c r="AQ374" t="s">
        <v>72</v>
      </c>
      <c r="AR374" t="s">
        <v>72</v>
      </c>
      <c r="AS374">
        <v>406</v>
      </c>
      <c r="AT374" s="4">
        <v>42776</v>
      </c>
      <c r="AU374" t="s">
        <v>73</v>
      </c>
      <c r="AV374">
        <v>406</v>
      </c>
      <c r="AW374" s="4">
        <v>42776</v>
      </c>
      <c r="BD374">
        <v>0</v>
      </c>
      <c r="BN374" t="s">
        <v>74</v>
      </c>
    </row>
    <row r="375" spans="1:66">
      <c r="A375">
        <v>100449</v>
      </c>
      <c r="B375" t="s">
        <v>144</v>
      </c>
      <c r="C375" s="1">
        <v>43300101</v>
      </c>
      <c r="D375" t="s">
        <v>67</v>
      </c>
      <c r="H375" t="str">
        <f t="shared" si="48"/>
        <v>00153730627</v>
      </c>
      <c r="I375" t="str">
        <f t="shared" si="48"/>
        <v>00153730627</v>
      </c>
      <c r="K375" t="str">
        <f>""</f>
        <v/>
      </c>
      <c r="M375" t="s">
        <v>68</v>
      </c>
      <c r="N375" t="str">
        <f t="shared" si="47"/>
        <v>FOR</v>
      </c>
      <c r="O375" t="s">
        <v>69</v>
      </c>
      <c r="P375" t="s">
        <v>75</v>
      </c>
      <c r="Q375">
        <v>2016</v>
      </c>
      <c r="R375" s="4">
        <v>42704</v>
      </c>
      <c r="S375" s="2">
        <v>42704</v>
      </c>
      <c r="T375" s="2">
        <v>42704</v>
      </c>
      <c r="U375" s="4">
        <v>42764</v>
      </c>
      <c r="V375" t="s">
        <v>71</v>
      </c>
      <c r="W375" t="str">
        <f>"          2016   213"</f>
        <v xml:space="preserve">          2016   213</v>
      </c>
      <c r="X375" s="1">
        <v>71473.179999999993</v>
      </c>
      <c r="Y375" s="1">
        <v>-12888.61</v>
      </c>
      <c r="Z375" s="5">
        <v>58584.57</v>
      </c>
      <c r="AA375" s="3">
        <v>12</v>
      </c>
      <c r="AB375" s="5">
        <v>703014.84</v>
      </c>
      <c r="AC375" s="1">
        <v>58584.57</v>
      </c>
      <c r="AD375">
        <v>12</v>
      </c>
      <c r="AE375" s="1">
        <v>703014.84</v>
      </c>
      <c r="AF375">
        <v>0</v>
      </c>
      <c r="AJ375">
        <v>0</v>
      </c>
      <c r="AK375">
        <v>0</v>
      </c>
      <c r="AL375">
        <v>0</v>
      </c>
      <c r="AM375">
        <v>0</v>
      </c>
      <c r="AN375">
        <v>0</v>
      </c>
      <c r="AO375">
        <v>0</v>
      </c>
      <c r="AP375" s="2">
        <v>42831</v>
      </c>
      <c r="AQ375" t="s">
        <v>72</v>
      </c>
      <c r="AR375" t="s">
        <v>72</v>
      </c>
      <c r="AS375">
        <v>406</v>
      </c>
      <c r="AT375" s="4">
        <v>42776</v>
      </c>
      <c r="AU375" t="s">
        <v>73</v>
      </c>
      <c r="AV375">
        <v>406</v>
      </c>
      <c r="AW375" s="4">
        <v>42776</v>
      </c>
      <c r="BD375">
        <v>0</v>
      </c>
      <c r="BN375" t="s">
        <v>74</v>
      </c>
    </row>
    <row r="376" spans="1:66">
      <c r="A376">
        <v>100449</v>
      </c>
      <c r="B376" t="s">
        <v>144</v>
      </c>
      <c r="C376" s="1">
        <v>43300101</v>
      </c>
      <c r="D376" t="s">
        <v>67</v>
      </c>
      <c r="H376" t="str">
        <f t="shared" si="48"/>
        <v>00153730627</v>
      </c>
      <c r="I376" t="str">
        <f t="shared" si="48"/>
        <v>00153730627</v>
      </c>
      <c r="K376" t="str">
        <f>""</f>
        <v/>
      </c>
      <c r="M376" t="s">
        <v>68</v>
      </c>
      <c r="N376" t="str">
        <f t="shared" si="47"/>
        <v>FOR</v>
      </c>
      <c r="O376" t="s">
        <v>69</v>
      </c>
      <c r="P376" t="s">
        <v>75</v>
      </c>
      <c r="Q376">
        <v>2016</v>
      </c>
      <c r="R376" s="4">
        <v>42704</v>
      </c>
      <c r="S376" s="2">
        <v>42704</v>
      </c>
      <c r="T376" s="2">
        <v>42704</v>
      </c>
      <c r="U376" s="4">
        <v>42764</v>
      </c>
      <c r="V376" t="s">
        <v>71</v>
      </c>
      <c r="W376" t="str">
        <f>"          2016   214"</f>
        <v xml:space="preserve">          2016   214</v>
      </c>
      <c r="X376" s="1">
        <v>17192.12</v>
      </c>
      <c r="Y376">
        <v>0</v>
      </c>
      <c r="Z376" s="5">
        <v>14091.9</v>
      </c>
      <c r="AA376" s="3">
        <v>12</v>
      </c>
      <c r="AB376" s="5">
        <v>169102.8</v>
      </c>
      <c r="AC376" s="1">
        <v>14091.9</v>
      </c>
      <c r="AD376">
        <v>12</v>
      </c>
      <c r="AE376" s="1">
        <v>169102.8</v>
      </c>
      <c r="AF376">
        <v>0</v>
      </c>
      <c r="AJ376">
        <v>0</v>
      </c>
      <c r="AK376">
        <v>0</v>
      </c>
      <c r="AL376">
        <v>0</v>
      </c>
      <c r="AM376">
        <v>0</v>
      </c>
      <c r="AN376">
        <v>0</v>
      </c>
      <c r="AO376">
        <v>0</v>
      </c>
      <c r="AP376" s="2">
        <v>42831</v>
      </c>
      <c r="AQ376" t="s">
        <v>72</v>
      </c>
      <c r="AR376" t="s">
        <v>72</v>
      </c>
      <c r="AS376">
        <v>406</v>
      </c>
      <c r="AT376" s="4">
        <v>42776</v>
      </c>
      <c r="AU376" t="s">
        <v>73</v>
      </c>
      <c r="AV376">
        <v>406</v>
      </c>
      <c r="AW376" s="4">
        <v>42776</v>
      </c>
      <c r="BD376">
        <v>0</v>
      </c>
      <c r="BN376" t="s">
        <v>74</v>
      </c>
    </row>
    <row r="377" spans="1:66">
      <c r="A377">
        <v>100449</v>
      </c>
      <c r="B377" t="s">
        <v>144</v>
      </c>
      <c r="C377" s="1">
        <v>43300101</v>
      </c>
      <c r="D377" t="s">
        <v>67</v>
      </c>
      <c r="H377" t="str">
        <f t="shared" si="48"/>
        <v>00153730627</v>
      </c>
      <c r="I377" t="str">
        <f t="shared" si="48"/>
        <v>00153730627</v>
      </c>
      <c r="K377" t="str">
        <f>""</f>
        <v/>
      </c>
      <c r="M377" t="s">
        <v>68</v>
      </c>
      <c r="N377" t="str">
        <f t="shared" si="47"/>
        <v>FOR</v>
      </c>
      <c r="O377" t="s">
        <v>69</v>
      </c>
      <c r="P377" t="s">
        <v>75</v>
      </c>
      <c r="Q377">
        <v>2016</v>
      </c>
      <c r="R377" s="4">
        <v>42704</v>
      </c>
      <c r="S377" s="2">
        <v>42711</v>
      </c>
      <c r="T377" s="2">
        <v>42711</v>
      </c>
      <c r="U377" s="4">
        <v>42771</v>
      </c>
      <c r="V377" t="s">
        <v>71</v>
      </c>
      <c r="W377" t="str">
        <f>"          2016   215"</f>
        <v xml:space="preserve">          2016   215</v>
      </c>
      <c r="X377" s="1">
        <v>3857.44</v>
      </c>
      <c r="Y377">
        <v>0</v>
      </c>
      <c r="Z377" s="5">
        <v>3161.84</v>
      </c>
      <c r="AA377" s="3">
        <v>5</v>
      </c>
      <c r="AB377" s="5">
        <v>15809.2</v>
      </c>
      <c r="AC377" s="1">
        <v>3161.84</v>
      </c>
      <c r="AD377">
        <v>5</v>
      </c>
      <c r="AE377" s="1">
        <v>15809.2</v>
      </c>
      <c r="AF377">
        <v>0</v>
      </c>
      <c r="AJ377">
        <v>0</v>
      </c>
      <c r="AK377">
        <v>0</v>
      </c>
      <c r="AL377">
        <v>0</v>
      </c>
      <c r="AM377">
        <v>0</v>
      </c>
      <c r="AN377">
        <v>0</v>
      </c>
      <c r="AO377">
        <v>0</v>
      </c>
      <c r="AP377" s="2">
        <v>42831</v>
      </c>
      <c r="AQ377" t="s">
        <v>72</v>
      </c>
      <c r="AR377" t="s">
        <v>72</v>
      </c>
      <c r="AS377">
        <v>406</v>
      </c>
      <c r="AT377" s="4">
        <v>42776</v>
      </c>
      <c r="AU377" t="s">
        <v>73</v>
      </c>
      <c r="AV377">
        <v>406</v>
      </c>
      <c r="AW377" s="4">
        <v>42776</v>
      </c>
      <c r="BD377">
        <v>0</v>
      </c>
      <c r="BN377" t="s">
        <v>74</v>
      </c>
    </row>
    <row r="378" spans="1:66">
      <c r="A378">
        <v>100449</v>
      </c>
      <c r="B378" t="s">
        <v>144</v>
      </c>
      <c r="C378" s="1">
        <v>43300101</v>
      </c>
      <c r="D378" t="s">
        <v>67</v>
      </c>
      <c r="H378" t="str">
        <f t="shared" si="48"/>
        <v>00153730627</v>
      </c>
      <c r="I378" t="str">
        <f t="shared" si="48"/>
        <v>00153730627</v>
      </c>
      <c r="K378" t="str">
        <f>""</f>
        <v/>
      </c>
      <c r="M378" t="s">
        <v>68</v>
      </c>
      <c r="N378" t="str">
        <f t="shared" si="47"/>
        <v>FOR</v>
      </c>
      <c r="O378" t="s">
        <v>69</v>
      </c>
      <c r="P378" t="s">
        <v>145</v>
      </c>
      <c r="Q378">
        <v>2016</v>
      </c>
      <c r="R378" s="4">
        <v>42735</v>
      </c>
      <c r="S378" s="2">
        <v>42747</v>
      </c>
      <c r="T378" s="2">
        <v>42744</v>
      </c>
      <c r="U378" s="4">
        <v>42804</v>
      </c>
      <c r="V378" t="s">
        <v>71</v>
      </c>
      <c r="W378" t="str">
        <f>"          2016   241"</f>
        <v xml:space="preserve">          2016   241</v>
      </c>
      <c r="X378" s="1">
        <v>71473.179999999993</v>
      </c>
      <c r="Y378" s="1">
        <v>-12888.61</v>
      </c>
      <c r="Z378" s="5">
        <v>58584.57</v>
      </c>
      <c r="AA378" s="3">
        <v>-3</v>
      </c>
      <c r="AB378" s="5">
        <v>-175753.71</v>
      </c>
      <c r="AC378" s="1">
        <v>58584.57</v>
      </c>
      <c r="AD378">
        <v>-3</v>
      </c>
      <c r="AE378" s="1">
        <v>-175753.71</v>
      </c>
      <c r="AF378">
        <v>0</v>
      </c>
      <c r="AJ378">
        <v>0</v>
      </c>
      <c r="AK378" s="1">
        <v>58584.57</v>
      </c>
      <c r="AL378">
        <v>0</v>
      </c>
      <c r="AM378">
        <v>0</v>
      </c>
      <c r="AN378" s="1">
        <v>58584.57</v>
      </c>
      <c r="AO378">
        <v>0</v>
      </c>
      <c r="AP378" s="2">
        <v>42831</v>
      </c>
      <c r="AQ378" t="s">
        <v>72</v>
      </c>
      <c r="AR378" t="s">
        <v>72</v>
      </c>
      <c r="AS378">
        <v>740</v>
      </c>
      <c r="AT378" s="4">
        <v>42801</v>
      </c>
      <c r="AV378">
        <v>740</v>
      </c>
      <c r="AW378" s="4">
        <v>42801</v>
      </c>
      <c r="BD378">
        <v>0</v>
      </c>
      <c r="BN378" t="s">
        <v>74</v>
      </c>
    </row>
    <row r="379" spans="1:66">
      <c r="A379">
        <v>100449</v>
      </c>
      <c r="B379" t="s">
        <v>144</v>
      </c>
      <c r="C379" s="1">
        <v>43300101</v>
      </c>
      <c r="D379" t="s">
        <v>67</v>
      </c>
      <c r="H379" t="str">
        <f t="shared" si="48"/>
        <v>00153730627</v>
      </c>
      <c r="I379" t="str">
        <f t="shared" si="48"/>
        <v>00153730627</v>
      </c>
      <c r="K379" t="str">
        <f>""</f>
        <v/>
      </c>
      <c r="M379" t="s">
        <v>68</v>
      </c>
      <c r="N379" t="str">
        <f t="shared" si="47"/>
        <v>FOR</v>
      </c>
      <c r="O379" t="s">
        <v>69</v>
      </c>
      <c r="P379" t="s">
        <v>75</v>
      </c>
      <c r="Q379">
        <v>2016</v>
      </c>
      <c r="R379" s="4">
        <v>42735</v>
      </c>
      <c r="S379" s="2">
        <v>42747</v>
      </c>
      <c r="T379" s="2">
        <v>42744</v>
      </c>
      <c r="U379" s="4">
        <v>42804</v>
      </c>
      <c r="V379" t="s">
        <v>71</v>
      </c>
      <c r="W379" t="str">
        <f>"          2016   242"</f>
        <v xml:space="preserve">          2016   242</v>
      </c>
      <c r="X379" s="1">
        <v>17192.12</v>
      </c>
      <c r="Y379">
        <v>0</v>
      </c>
      <c r="Z379" s="5">
        <v>14091.9</v>
      </c>
      <c r="AA379" s="3">
        <v>-3</v>
      </c>
      <c r="AB379" s="5">
        <v>-42275.7</v>
      </c>
      <c r="AC379" s="1">
        <v>14091.9</v>
      </c>
      <c r="AD379">
        <v>-3</v>
      </c>
      <c r="AE379" s="1">
        <v>-42275.7</v>
      </c>
      <c r="AF379" s="1">
        <v>3100.22</v>
      </c>
      <c r="AJ379">
        <v>0</v>
      </c>
      <c r="AK379" s="1">
        <v>17192.12</v>
      </c>
      <c r="AL379">
        <v>0</v>
      </c>
      <c r="AM379">
        <v>0</v>
      </c>
      <c r="AN379" s="1">
        <v>17192.12</v>
      </c>
      <c r="AO379">
        <v>0</v>
      </c>
      <c r="AP379" s="2">
        <v>42831</v>
      </c>
      <c r="AQ379" t="s">
        <v>72</v>
      </c>
      <c r="AR379" t="s">
        <v>72</v>
      </c>
      <c r="AS379">
        <v>740</v>
      </c>
      <c r="AT379" s="4">
        <v>42801</v>
      </c>
      <c r="AV379">
        <v>740</v>
      </c>
      <c r="AW379" s="4">
        <v>42801</v>
      </c>
      <c r="AX379" s="1">
        <v>3100.22</v>
      </c>
      <c r="BD379">
        <v>0</v>
      </c>
      <c r="BN379" t="s">
        <v>74</v>
      </c>
    </row>
    <row r="380" spans="1:66">
      <c r="A380">
        <v>100449</v>
      </c>
      <c r="B380" t="s">
        <v>144</v>
      </c>
      <c r="C380" s="1">
        <v>43300101</v>
      </c>
      <c r="D380" t="s">
        <v>67</v>
      </c>
      <c r="H380" t="str">
        <f t="shared" si="48"/>
        <v>00153730627</v>
      </c>
      <c r="I380" t="str">
        <f t="shared" si="48"/>
        <v>00153730627</v>
      </c>
      <c r="K380" t="str">
        <f>""</f>
        <v/>
      </c>
      <c r="M380" t="s">
        <v>68</v>
      </c>
      <c r="N380" t="str">
        <f t="shared" si="47"/>
        <v>FOR</v>
      </c>
      <c r="O380" t="s">
        <v>69</v>
      </c>
      <c r="P380" t="s">
        <v>75</v>
      </c>
      <c r="Q380">
        <v>2016</v>
      </c>
      <c r="R380" s="4">
        <v>42735</v>
      </c>
      <c r="S380" s="2">
        <v>42747</v>
      </c>
      <c r="T380" s="2">
        <v>42744</v>
      </c>
      <c r="U380" s="4">
        <v>42804</v>
      </c>
      <c r="V380" t="s">
        <v>71</v>
      </c>
      <c r="W380" t="str">
        <f>"          2016   243"</f>
        <v xml:space="preserve">          2016   243</v>
      </c>
      <c r="X380" s="1">
        <v>3857.44</v>
      </c>
      <c r="Y380">
        <v>0</v>
      </c>
      <c r="Z380" s="5">
        <v>3161.84</v>
      </c>
      <c r="AA380" s="3">
        <v>-3</v>
      </c>
      <c r="AB380" s="5">
        <v>-9485.52</v>
      </c>
      <c r="AC380" s="1">
        <v>3161.84</v>
      </c>
      <c r="AD380">
        <v>-3</v>
      </c>
      <c r="AE380" s="1">
        <v>-9485.52</v>
      </c>
      <c r="AF380">
        <v>695.6</v>
      </c>
      <c r="AJ380">
        <v>0</v>
      </c>
      <c r="AK380" s="1">
        <v>3857.44</v>
      </c>
      <c r="AL380">
        <v>0</v>
      </c>
      <c r="AM380">
        <v>0</v>
      </c>
      <c r="AN380" s="1">
        <v>3857.44</v>
      </c>
      <c r="AO380">
        <v>0</v>
      </c>
      <c r="AP380" s="2">
        <v>42831</v>
      </c>
      <c r="AQ380" t="s">
        <v>72</v>
      </c>
      <c r="AR380" t="s">
        <v>72</v>
      </c>
      <c r="AS380">
        <v>740</v>
      </c>
      <c r="AT380" s="4">
        <v>42801</v>
      </c>
      <c r="AV380">
        <v>740</v>
      </c>
      <c r="AW380" s="4">
        <v>42801</v>
      </c>
      <c r="AX380">
        <v>695.6</v>
      </c>
      <c r="BD380">
        <v>0</v>
      </c>
      <c r="BN380" t="s">
        <v>74</v>
      </c>
    </row>
    <row r="381" spans="1:66">
      <c r="A381">
        <v>100449</v>
      </c>
      <c r="B381" t="s">
        <v>144</v>
      </c>
      <c r="C381" s="1">
        <v>43300101</v>
      </c>
      <c r="D381" t="s">
        <v>67</v>
      </c>
      <c r="H381" t="str">
        <f t="shared" si="48"/>
        <v>00153730627</v>
      </c>
      <c r="I381" t="str">
        <f t="shared" si="48"/>
        <v>00153730627</v>
      </c>
      <c r="K381" t="str">
        <f>""</f>
        <v/>
      </c>
      <c r="M381" t="s">
        <v>68</v>
      </c>
      <c r="N381" t="str">
        <f t="shared" si="47"/>
        <v>FOR</v>
      </c>
      <c r="O381" t="s">
        <v>69</v>
      </c>
      <c r="P381" t="s">
        <v>75</v>
      </c>
      <c r="Q381">
        <v>2017</v>
      </c>
      <c r="R381" s="4">
        <v>42766</v>
      </c>
      <c r="S381" s="2">
        <v>42774</v>
      </c>
      <c r="T381" s="2">
        <v>42766</v>
      </c>
      <c r="U381" s="4">
        <v>42826</v>
      </c>
      <c r="V381" t="s">
        <v>71</v>
      </c>
      <c r="W381" t="str">
        <f>"          2017     4"</f>
        <v xml:space="preserve">          2017     4</v>
      </c>
      <c r="X381" s="1">
        <v>71473.179999999993</v>
      </c>
      <c r="Y381" s="1">
        <v>-12888.61</v>
      </c>
      <c r="Z381" s="5">
        <v>58584.57</v>
      </c>
      <c r="AA381" s="3">
        <v>-10</v>
      </c>
      <c r="AB381" s="5">
        <v>-585845.69999999995</v>
      </c>
      <c r="AC381" s="1">
        <v>58584.57</v>
      </c>
      <c r="AD381">
        <v>-10</v>
      </c>
      <c r="AE381" s="1">
        <v>-585845.69999999995</v>
      </c>
      <c r="AF381">
        <v>0</v>
      </c>
      <c r="AJ381" s="1">
        <v>58584.57</v>
      </c>
      <c r="AK381" s="1">
        <v>58584.57</v>
      </c>
      <c r="AL381" s="1">
        <v>58584.57</v>
      </c>
      <c r="AM381" s="1">
        <v>58584.57</v>
      </c>
      <c r="AN381" s="1">
        <v>58584.57</v>
      </c>
      <c r="AO381" s="1">
        <v>58584.57</v>
      </c>
      <c r="AP381" s="2">
        <v>42831</v>
      </c>
      <c r="AQ381" t="s">
        <v>72</v>
      </c>
      <c r="AR381" t="s">
        <v>72</v>
      </c>
      <c r="AS381">
        <v>886</v>
      </c>
      <c r="AT381" s="4">
        <v>42816</v>
      </c>
      <c r="AV381">
        <v>886</v>
      </c>
      <c r="AW381" s="4">
        <v>42816</v>
      </c>
      <c r="BD381">
        <v>0</v>
      </c>
      <c r="BN381" t="s">
        <v>74</v>
      </c>
    </row>
    <row r="382" spans="1:66">
      <c r="A382">
        <v>100449</v>
      </c>
      <c r="B382" t="s">
        <v>144</v>
      </c>
      <c r="C382" s="1">
        <v>43300101</v>
      </c>
      <c r="D382" t="s">
        <v>67</v>
      </c>
      <c r="H382" t="str">
        <f t="shared" si="48"/>
        <v>00153730627</v>
      </c>
      <c r="I382" t="str">
        <f t="shared" si="48"/>
        <v>00153730627</v>
      </c>
      <c r="K382" t="str">
        <f>""</f>
        <v/>
      </c>
      <c r="M382" t="s">
        <v>68</v>
      </c>
      <c r="N382" t="str">
        <f t="shared" si="47"/>
        <v>FOR</v>
      </c>
      <c r="O382" t="s">
        <v>69</v>
      </c>
      <c r="P382" t="s">
        <v>75</v>
      </c>
      <c r="Q382">
        <v>2017</v>
      </c>
      <c r="R382" s="4">
        <v>42766</v>
      </c>
      <c r="S382" s="2">
        <v>42774</v>
      </c>
      <c r="T382" s="2">
        <v>42766</v>
      </c>
      <c r="U382" s="4">
        <v>42826</v>
      </c>
      <c r="V382" t="s">
        <v>71</v>
      </c>
      <c r="W382" t="str">
        <f>"          2017     5"</f>
        <v xml:space="preserve">          2017     5</v>
      </c>
      <c r="X382" s="1">
        <v>17192.12</v>
      </c>
      <c r="Y382">
        <v>0</v>
      </c>
      <c r="Z382" s="5">
        <v>14091.9</v>
      </c>
      <c r="AA382" s="3">
        <v>-10</v>
      </c>
      <c r="AB382" s="5">
        <v>-140919</v>
      </c>
      <c r="AC382" s="1">
        <v>14091.9</v>
      </c>
      <c r="AD382">
        <v>-10</v>
      </c>
      <c r="AE382" s="1">
        <v>-140919</v>
      </c>
      <c r="AF382" s="1">
        <v>3100.22</v>
      </c>
      <c r="AJ382" s="1">
        <v>17192.12</v>
      </c>
      <c r="AK382" s="1">
        <v>17192.12</v>
      </c>
      <c r="AL382" s="1">
        <v>17192.12</v>
      </c>
      <c r="AM382" s="1">
        <v>17192.12</v>
      </c>
      <c r="AN382" s="1">
        <v>17192.12</v>
      </c>
      <c r="AO382" s="1">
        <v>17192.12</v>
      </c>
      <c r="AP382" s="2">
        <v>42831</v>
      </c>
      <c r="AQ382" t="s">
        <v>72</v>
      </c>
      <c r="AR382" t="s">
        <v>72</v>
      </c>
      <c r="AS382">
        <v>886</v>
      </c>
      <c r="AT382" s="4">
        <v>42816</v>
      </c>
      <c r="AV382">
        <v>886</v>
      </c>
      <c r="AW382" s="4">
        <v>42816</v>
      </c>
      <c r="BD382">
        <v>0</v>
      </c>
      <c r="BF382" s="1">
        <v>3100.22</v>
      </c>
      <c r="BN382" t="s">
        <v>74</v>
      </c>
    </row>
    <row r="383" spans="1:66">
      <c r="A383">
        <v>100449</v>
      </c>
      <c r="B383" t="s">
        <v>144</v>
      </c>
      <c r="C383" s="1">
        <v>43300101</v>
      </c>
      <c r="D383" t="s">
        <v>67</v>
      </c>
      <c r="H383" t="str">
        <f t="shared" si="48"/>
        <v>00153730627</v>
      </c>
      <c r="I383" t="str">
        <f t="shared" si="48"/>
        <v>00153730627</v>
      </c>
      <c r="K383" t="str">
        <f>""</f>
        <v/>
      </c>
      <c r="M383" t="s">
        <v>68</v>
      </c>
      <c r="N383" t="str">
        <f t="shared" si="47"/>
        <v>FOR</v>
      </c>
      <c r="O383" t="s">
        <v>69</v>
      </c>
      <c r="P383" t="s">
        <v>75</v>
      </c>
      <c r="Q383">
        <v>2017</v>
      </c>
      <c r="R383" s="4">
        <v>42766</v>
      </c>
      <c r="S383" s="2">
        <v>42772</v>
      </c>
      <c r="T383" s="2">
        <v>42766</v>
      </c>
      <c r="U383" s="4">
        <v>42826</v>
      </c>
      <c r="V383" t="s">
        <v>71</v>
      </c>
      <c r="W383" t="str">
        <f>"          2017     6"</f>
        <v xml:space="preserve">          2017     6</v>
      </c>
      <c r="X383" s="1">
        <v>3857.44</v>
      </c>
      <c r="Y383">
        <v>0</v>
      </c>
      <c r="Z383" s="5">
        <v>3161.84</v>
      </c>
      <c r="AA383" s="3">
        <v>-10</v>
      </c>
      <c r="AB383" s="5">
        <v>-31618.400000000001</v>
      </c>
      <c r="AC383" s="1">
        <v>3161.84</v>
      </c>
      <c r="AD383">
        <v>-10</v>
      </c>
      <c r="AE383" s="1">
        <v>-31618.400000000001</v>
      </c>
      <c r="AF383">
        <v>695.6</v>
      </c>
      <c r="AJ383" s="1">
        <v>3857.44</v>
      </c>
      <c r="AK383" s="1">
        <v>3857.44</v>
      </c>
      <c r="AL383" s="1">
        <v>3857.44</v>
      </c>
      <c r="AM383" s="1">
        <v>3857.44</v>
      </c>
      <c r="AN383" s="1">
        <v>3857.44</v>
      </c>
      <c r="AO383" s="1">
        <v>3857.44</v>
      </c>
      <c r="AP383" s="2">
        <v>42831</v>
      </c>
      <c r="AQ383" t="s">
        <v>72</v>
      </c>
      <c r="AR383" t="s">
        <v>72</v>
      </c>
      <c r="AS383">
        <v>886</v>
      </c>
      <c r="AT383" s="4">
        <v>42816</v>
      </c>
      <c r="AV383">
        <v>886</v>
      </c>
      <c r="AW383" s="4">
        <v>42816</v>
      </c>
      <c r="BD383">
        <v>0</v>
      </c>
      <c r="BF383">
        <v>695.6</v>
      </c>
      <c r="BN383" t="s">
        <v>74</v>
      </c>
    </row>
    <row r="384" spans="1:66">
      <c r="A384">
        <v>100449</v>
      </c>
      <c r="B384" t="s">
        <v>144</v>
      </c>
      <c r="C384" s="1">
        <v>43300101</v>
      </c>
      <c r="D384" t="s">
        <v>67</v>
      </c>
      <c r="H384" t="str">
        <f t="shared" si="48"/>
        <v>00153730627</v>
      </c>
      <c r="I384" t="str">
        <f t="shared" si="48"/>
        <v>00153730627</v>
      </c>
      <c r="K384" t="str">
        <f>""</f>
        <v/>
      </c>
      <c r="M384" t="s">
        <v>68</v>
      </c>
      <c r="N384" t="str">
        <f t="shared" si="47"/>
        <v>FOR</v>
      </c>
      <c r="O384" t="s">
        <v>69</v>
      </c>
      <c r="P384" t="s">
        <v>75</v>
      </c>
      <c r="Q384">
        <v>2017</v>
      </c>
      <c r="R384" s="4">
        <v>42794</v>
      </c>
      <c r="S384" s="2">
        <v>42794</v>
      </c>
      <c r="T384" s="2">
        <v>42794</v>
      </c>
      <c r="U384" s="4">
        <v>42854</v>
      </c>
      <c r="V384" t="s">
        <v>71</v>
      </c>
      <c r="W384" t="str">
        <f>"          2017    21"</f>
        <v xml:space="preserve">          2017    21</v>
      </c>
      <c r="X384" s="1">
        <v>71473.179999999993</v>
      </c>
      <c r="Y384" s="1">
        <v>-12888.61</v>
      </c>
      <c r="Z384" s="5">
        <v>58584.57</v>
      </c>
      <c r="AA384" s="3">
        <v>-38</v>
      </c>
      <c r="AB384" s="5">
        <v>-2226213.66</v>
      </c>
      <c r="AC384" s="1">
        <v>58584.57</v>
      </c>
      <c r="AD384">
        <v>-38</v>
      </c>
      <c r="AE384" s="1">
        <v>-2226213.66</v>
      </c>
      <c r="AF384">
        <v>0</v>
      </c>
      <c r="AJ384" s="1">
        <v>58584.57</v>
      </c>
      <c r="AK384" s="1">
        <v>58584.57</v>
      </c>
      <c r="AL384" s="1">
        <v>58584.57</v>
      </c>
      <c r="AM384" s="1">
        <v>58584.57</v>
      </c>
      <c r="AN384" s="1">
        <v>58584.57</v>
      </c>
      <c r="AO384" s="1">
        <v>58584.57</v>
      </c>
      <c r="AP384" s="2">
        <v>42831</v>
      </c>
      <c r="AQ384" t="s">
        <v>72</v>
      </c>
      <c r="AR384" t="s">
        <v>72</v>
      </c>
      <c r="AS384">
        <v>886</v>
      </c>
      <c r="AT384" s="4">
        <v>42816</v>
      </c>
      <c r="AV384">
        <v>886</v>
      </c>
      <c r="AW384" s="4">
        <v>42816</v>
      </c>
      <c r="BD384">
        <v>0</v>
      </c>
      <c r="BN384" t="s">
        <v>74</v>
      </c>
    </row>
    <row r="385" spans="1:66">
      <c r="A385">
        <v>100449</v>
      </c>
      <c r="B385" t="s">
        <v>144</v>
      </c>
      <c r="C385" s="1">
        <v>43300101</v>
      </c>
      <c r="D385" t="s">
        <v>67</v>
      </c>
      <c r="H385" t="str">
        <f t="shared" si="48"/>
        <v>00153730627</v>
      </c>
      <c r="I385" t="str">
        <f t="shared" si="48"/>
        <v>00153730627</v>
      </c>
      <c r="K385" t="str">
        <f>""</f>
        <v/>
      </c>
      <c r="M385" t="s">
        <v>68</v>
      </c>
      <c r="N385" t="str">
        <f t="shared" si="47"/>
        <v>FOR</v>
      </c>
      <c r="O385" t="s">
        <v>69</v>
      </c>
      <c r="P385" t="s">
        <v>75</v>
      </c>
      <c r="Q385">
        <v>2017</v>
      </c>
      <c r="R385" s="4">
        <v>42794</v>
      </c>
      <c r="S385" s="2">
        <v>42794</v>
      </c>
      <c r="T385" s="2">
        <v>42794</v>
      </c>
      <c r="U385" s="4">
        <v>42854</v>
      </c>
      <c r="V385" t="s">
        <v>71</v>
      </c>
      <c r="W385" t="str">
        <f>"          2017    22"</f>
        <v xml:space="preserve">          2017    22</v>
      </c>
      <c r="X385" s="1">
        <v>17192.12</v>
      </c>
      <c r="Y385">
        <v>0</v>
      </c>
      <c r="Z385" s="5">
        <v>14091.9</v>
      </c>
      <c r="AA385" s="3">
        <v>-38</v>
      </c>
      <c r="AB385" s="5">
        <v>-535492.19999999995</v>
      </c>
      <c r="AC385" s="1">
        <v>14091.9</v>
      </c>
      <c r="AD385">
        <v>-38</v>
      </c>
      <c r="AE385" s="1">
        <v>-535492.19999999995</v>
      </c>
      <c r="AF385" s="1">
        <v>3100.22</v>
      </c>
      <c r="AJ385" s="1">
        <v>17192.12</v>
      </c>
      <c r="AK385" s="1">
        <v>17192.12</v>
      </c>
      <c r="AL385" s="1">
        <v>17192.12</v>
      </c>
      <c r="AM385" s="1">
        <v>17192.12</v>
      </c>
      <c r="AN385" s="1">
        <v>17192.12</v>
      </c>
      <c r="AO385" s="1">
        <v>17192.12</v>
      </c>
      <c r="AP385" s="2">
        <v>42831</v>
      </c>
      <c r="AQ385" t="s">
        <v>72</v>
      </c>
      <c r="AR385" t="s">
        <v>72</v>
      </c>
      <c r="AS385">
        <v>886</v>
      </c>
      <c r="AT385" s="4">
        <v>42816</v>
      </c>
      <c r="AV385">
        <v>886</v>
      </c>
      <c r="AW385" s="4">
        <v>42816</v>
      </c>
      <c r="BD385">
        <v>0</v>
      </c>
      <c r="BF385" s="1">
        <v>3100.22</v>
      </c>
      <c r="BN385" t="s">
        <v>74</v>
      </c>
    </row>
    <row r="386" spans="1:66">
      <c r="A386">
        <v>100449</v>
      </c>
      <c r="B386" t="s">
        <v>144</v>
      </c>
      <c r="C386" s="1">
        <v>43300101</v>
      </c>
      <c r="D386" t="s">
        <v>67</v>
      </c>
      <c r="H386" t="str">
        <f t="shared" si="48"/>
        <v>00153730627</v>
      </c>
      <c r="I386" t="str">
        <f t="shared" si="48"/>
        <v>00153730627</v>
      </c>
      <c r="K386" t="str">
        <f>""</f>
        <v/>
      </c>
      <c r="M386" t="s">
        <v>68</v>
      </c>
      <c r="N386" t="str">
        <f t="shared" si="47"/>
        <v>FOR</v>
      </c>
      <c r="O386" t="s">
        <v>69</v>
      </c>
      <c r="P386" t="s">
        <v>75</v>
      </c>
      <c r="Q386">
        <v>2017</v>
      </c>
      <c r="R386" s="4">
        <v>42794</v>
      </c>
      <c r="S386" s="2">
        <v>42794</v>
      </c>
      <c r="T386" s="2">
        <v>42794</v>
      </c>
      <c r="U386" s="4">
        <v>42854</v>
      </c>
      <c r="V386" t="s">
        <v>71</v>
      </c>
      <c r="W386" t="str">
        <f>"          2017    23"</f>
        <v xml:space="preserve">          2017    23</v>
      </c>
      <c r="X386" s="1">
        <v>3857.44</v>
      </c>
      <c r="Y386">
        <v>0</v>
      </c>
      <c r="Z386" s="5">
        <v>3161.84</v>
      </c>
      <c r="AA386" s="3">
        <v>-38</v>
      </c>
      <c r="AB386" s="5">
        <v>-120149.92</v>
      </c>
      <c r="AC386" s="1">
        <v>3161.84</v>
      </c>
      <c r="AD386">
        <v>-38</v>
      </c>
      <c r="AE386" s="1">
        <v>-120149.92</v>
      </c>
      <c r="AF386">
        <v>695.6</v>
      </c>
      <c r="AJ386" s="1">
        <v>3857.44</v>
      </c>
      <c r="AK386" s="1">
        <v>3857.44</v>
      </c>
      <c r="AL386" s="1">
        <v>3857.44</v>
      </c>
      <c r="AM386" s="1">
        <v>3857.44</v>
      </c>
      <c r="AN386" s="1">
        <v>3857.44</v>
      </c>
      <c r="AO386" s="1">
        <v>3857.44</v>
      </c>
      <c r="AP386" s="2">
        <v>42831</v>
      </c>
      <c r="AQ386" t="s">
        <v>72</v>
      </c>
      <c r="AR386" t="s">
        <v>72</v>
      </c>
      <c r="AS386">
        <v>886</v>
      </c>
      <c r="AT386" s="4">
        <v>42816</v>
      </c>
      <c r="AV386">
        <v>886</v>
      </c>
      <c r="AW386" s="4">
        <v>42816</v>
      </c>
      <c r="BD386">
        <v>0</v>
      </c>
      <c r="BF386">
        <v>695.6</v>
      </c>
      <c r="BN386" t="s">
        <v>74</v>
      </c>
    </row>
    <row r="387" spans="1:66">
      <c r="A387">
        <v>100477</v>
      </c>
      <c r="B387" t="s">
        <v>146</v>
      </c>
      <c r="C387" s="1">
        <v>43500101</v>
      </c>
      <c r="D387" t="s">
        <v>98</v>
      </c>
      <c r="H387" t="str">
        <f>"RGGSST59E11B227F"</f>
        <v>RGGSST59E11B227F</v>
      </c>
      <c r="I387" t="str">
        <f>"02672640618"</f>
        <v>02672640618</v>
      </c>
      <c r="K387" t="str">
        <f>""</f>
        <v/>
      </c>
      <c r="M387" t="s">
        <v>68</v>
      </c>
      <c r="N387" t="str">
        <f>"ALTPRO"</f>
        <v>ALTPRO</v>
      </c>
      <c r="O387" t="s">
        <v>116</v>
      </c>
      <c r="P387" t="s">
        <v>120</v>
      </c>
      <c r="Q387">
        <v>2016</v>
      </c>
      <c r="R387" s="4">
        <v>42731</v>
      </c>
      <c r="S387" s="2">
        <v>42772</v>
      </c>
      <c r="T387" s="2">
        <v>42770</v>
      </c>
      <c r="U387" s="4">
        <v>42830</v>
      </c>
      <c r="V387" t="s">
        <v>71</v>
      </c>
      <c r="W387" t="str">
        <f>"                  10"</f>
        <v xml:space="preserve">                  10</v>
      </c>
      <c r="X387" s="1">
        <v>1000</v>
      </c>
      <c r="Y387">
        <v>-196</v>
      </c>
      <c r="Z387" s="5">
        <v>804</v>
      </c>
      <c r="AA387" s="3">
        <v>-47</v>
      </c>
      <c r="AB387" s="5">
        <v>-37788</v>
      </c>
      <c r="AC387">
        <v>804</v>
      </c>
      <c r="AD387">
        <v>-47</v>
      </c>
      <c r="AE387" s="1">
        <v>-37788</v>
      </c>
      <c r="AF387">
        <v>0</v>
      </c>
      <c r="AJ387">
        <v>0</v>
      </c>
      <c r="AK387">
        <v>804</v>
      </c>
      <c r="AL387">
        <v>0</v>
      </c>
      <c r="AM387">
        <v>0</v>
      </c>
      <c r="AN387">
        <v>804</v>
      </c>
      <c r="AO387">
        <v>0</v>
      </c>
      <c r="AP387" s="2">
        <v>42831</v>
      </c>
      <c r="AQ387" t="s">
        <v>72</v>
      </c>
      <c r="AR387" t="s">
        <v>72</v>
      </c>
      <c r="AS387">
        <v>497</v>
      </c>
      <c r="AT387" s="4">
        <v>42783</v>
      </c>
      <c r="AV387">
        <v>497</v>
      </c>
      <c r="AW387" s="4">
        <v>42783</v>
      </c>
      <c r="BD387">
        <v>0</v>
      </c>
      <c r="BN387" t="s">
        <v>74</v>
      </c>
    </row>
    <row r="388" spans="1:66">
      <c r="A388">
        <v>100477</v>
      </c>
      <c r="B388" t="s">
        <v>146</v>
      </c>
      <c r="C388" s="1">
        <v>43500101</v>
      </c>
      <c r="D388" t="s">
        <v>98</v>
      </c>
      <c r="H388" t="str">
        <f>"RGGSST59E11B227F"</f>
        <v>RGGSST59E11B227F</v>
      </c>
      <c r="I388" t="str">
        <f>"02672640618"</f>
        <v>02672640618</v>
      </c>
      <c r="K388" t="str">
        <f>""</f>
        <v/>
      </c>
      <c r="M388" t="s">
        <v>68</v>
      </c>
      <c r="N388" t="str">
        <f>"ALTPRO"</f>
        <v>ALTPRO</v>
      </c>
      <c r="O388" t="s">
        <v>116</v>
      </c>
      <c r="P388" t="s">
        <v>120</v>
      </c>
      <c r="Q388">
        <v>2017</v>
      </c>
      <c r="R388" s="4">
        <v>42771</v>
      </c>
      <c r="S388" s="2">
        <v>42772</v>
      </c>
      <c r="T388" s="2">
        <v>42771</v>
      </c>
      <c r="U388" s="4">
        <v>42831</v>
      </c>
      <c r="V388" t="s">
        <v>71</v>
      </c>
      <c r="W388" t="str">
        <f>"                  01"</f>
        <v xml:space="preserve">                  01</v>
      </c>
      <c r="X388" s="1">
        <v>1000</v>
      </c>
      <c r="Y388">
        <v>-196</v>
      </c>
      <c r="Z388" s="5">
        <v>804</v>
      </c>
      <c r="AA388" s="3">
        <v>-48</v>
      </c>
      <c r="AB388" s="5">
        <v>-38592</v>
      </c>
      <c r="AC388">
        <v>804</v>
      </c>
      <c r="AD388">
        <v>-48</v>
      </c>
      <c r="AE388" s="1">
        <v>-38592</v>
      </c>
      <c r="AF388">
        <v>0</v>
      </c>
      <c r="AJ388">
        <v>804</v>
      </c>
      <c r="AK388">
        <v>804</v>
      </c>
      <c r="AL388">
        <v>804</v>
      </c>
      <c r="AM388">
        <v>804</v>
      </c>
      <c r="AN388">
        <v>804</v>
      </c>
      <c r="AO388">
        <v>804</v>
      </c>
      <c r="AP388" s="2">
        <v>42831</v>
      </c>
      <c r="AQ388" t="s">
        <v>72</v>
      </c>
      <c r="AR388" t="s">
        <v>72</v>
      </c>
      <c r="AS388">
        <v>497</v>
      </c>
      <c r="AT388" s="4">
        <v>42783</v>
      </c>
      <c r="AV388">
        <v>497</v>
      </c>
      <c r="AW388" s="4">
        <v>42783</v>
      </c>
      <c r="BD388">
        <v>0</v>
      </c>
      <c r="BN388" t="s">
        <v>74</v>
      </c>
    </row>
    <row r="389" spans="1:66">
      <c r="A389">
        <v>100494</v>
      </c>
      <c r="B389" t="s">
        <v>147</v>
      </c>
      <c r="C389" s="1">
        <v>43300101</v>
      </c>
      <c r="D389" t="s">
        <v>67</v>
      </c>
      <c r="H389" t="str">
        <f t="shared" ref="H389:I397" si="49">"03524050238"</f>
        <v>03524050238</v>
      </c>
      <c r="I389" t="str">
        <f t="shared" si="49"/>
        <v>03524050238</v>
      </c>
      <c r="K389" t="str">
        <f>""</f>
        <v/>
      </c>
      <c r="M389" t="s">
        <v>68</v>
      </c>
      <c r="N389" t="str">
        <f t="shared" ref="N389:N401" si="50">"FOR"</f>
        <v>FOR</v>
      </c>
      <c r="O389" t="s">
        <v>69</v>
      </c>
      <c r="P389" t="s">
        <v>75</v>
      </c>
      <c r="Q389">
        <v>2016</v>
      </c>
      <c r="R389" s="4">
        <v>42506</v>
      </c>
      <c r="S389" s="2">
        <v>42516</v>
      </c>
      <c r="T389" s="2">
        <v>42507</v>
      </c>
      <c r="U389" s="4">
        <v>42567</v>
      </c>
      <c r="V389" t="s">
        <v>71</v>
      </c>
      <c r="W389" t="str">
        <f>"          0740449714"</f>
        <v xml:space="preserve">          0740449714</v>
      </c>
      <c r="X389">
        <v>457.5</v>
      </c>
      <c r="Y389">
        <v>0</v>
      </c>
      <c r="Z389" s="5">
        <v>375</v>
      </c>
      <c r="AA389" s="3">
        <v>208</v>
      </c>
      <c r="AB389" s="5">
        <v>78000</v>
      </c>
      <c r="AC389">
        <v>375</v>
      </c>
      <c r="AD389">
        <v>208</v>
      </c>
      <c r="AE389" s="1">
        <v>78000</v>
      </c>
      <c r="AF389">
        <v>0</v>
      </c>
      <c r="AJ389">
        <v>0</v>
      </c>
      <c r="AK389">
        <v>0</v>
      </c>
      <c r="AL389">
        <v>0</v>
      </c>
      <c r="AM389">
        <v>0</v>
      </c>
      <c r="AN389">
        <v>0</v>
      </c>
      <c r="AO389">
        <v>0</v>
      </c>
      <c r="AP389" s="2">
        <v>42831</v>
      </c>
      <c r="AQ389" t="s">
        <v>72</v>
      </c>
      <c r="AR389" t="s">
        <v>72</v>
      </c>
      <c r="AS389">
        <v>373</v>
      </c>
      <c r="AT389" s="4">
        <v>42775</v>
      </c>
      <c r="AU389" t="s">
        <v>73</v>
      </c>
      <c r="AV389">
        <v>373</v>
      </c>
      <c r="AW389" s="4">
        <v>42775</v>
      </c>
      <c r="BD389">
        <v>0</v>
      </c>
      <c r="BN389" t="s">
        <v>74</v>
      </c>
    </row>
    <row r="390" spans="1:66">
      <c r="A390">
        <v>100494</v>
      </c>
      <c r="B390" t="s">
        <v>147</v>
      </c>
      <c r="C390" s="1">
        <v>43300101</v>
      </c>
      <c r="D390" t="s">
        <v>67</v>
      </c>
      <c r="H390" t="str">
        <f t="shared" si="49"/>
        <v>03524050238</v>
      </c>
      <c r="I390" t="str">
        <f t="shared" si="49"/>
        <v>03524050238</v>
      </c>
      <c r="K390" t="str">
        <f>""</f>
        <v/>
      </c>
      <c r="M390" t="s">
        <v>68</v>
      </c>
      <c r="N390" t="str">
        <f t="shared" si="50"/>
        <v>FOR</v>
      </c>
      <c r="O390" t="s">
        <v>69</v>
      </c>
      <c r="P390" t="s">
        <v>75</v>
      </c>
      <c r="Q390">
        <v>2016</v>
      </c>
      <c r="R390" s="4">
        <v>42551</v>
      </c>
      <c r="S390" s="2">
        <v>42555</v>
      </c>
      <c r="T390" s="2">
        <v>42555</v>
      </c>
      <c r="U390" s="4">
        <v>42615</v>
      </c>
      <c r="V390" t="s">
        <v>71</v>
      </c>
      <c r="W390" t="str">
        <f>"          0740457042"</f>
        <v xml:space="preserve">          0740457042</v>
      </c>
      <c r="X390">
        <v>742.41</v>
      </c>
      <c r="Y390">
        <v>0</v>
      </c>
      <c r="Z390" s="5">
        <v>608.53</v>
      </c>
      <c r="AA390" s="3">
        <v>160</v>
      </c>
      <c r="AB390" s="5">
        <v>97364.800000000003</v>
      </c>
      <c r="AC390">
        <v>608.53</v>
      </c>
      <c r="AD390">
        <v>160</v>
      </c>
      <c r="AE390" s="1">
        <v>97364.800000000003</v>
      </c>
      <c r="AF390">
        <v>0</v>
      </c>
      <c r="AJ390">
        <v>0</v>
      </c>
      <c r="AK390">
        <v>0</v>
      </c>
      <c r="AL390">
        <v>0</v>
      </c>
      <c r="AM390">
        <v>0</v>
      </c>
      <c r="AN390">
        <v>0</v>
      </c>
      <c r="AO390">
        <v>0</v>
      </c>
      <c r="AP390" s="2">
        <v>42831</v>
      </c>
      <c r="AQ390" t="s">
        <v>72</v>
      </c>
      <c r="AR390" t="s">
        <v>72</v>
      </c>
      <c r="AS390">
        <v>373</v>
      </c>
      <c r="AT390" s="4">
        <v>42775</v>
      </c>
      <c r="AU390" t="s">
        <v>73</v>
      </c>
      <c r="AV390">
        <v>373</v>
      </c>
      <c r="AW390" s="4">
        <v>42775</v>
      </c>
      <c r="BD390">
        <v>0</v>
      </c>
      <c r="BN390" t="s">
        <v>74</v>
      </c>
    </row>
    <row r="391" spans="1:66">
      <c r="A391">
        <v>100494</v>
      </c>
      <c r="B391" t="s">
        <v>147</v>
      </c>
      <c r="C391" s="1">
        <v>43300101</v>
      </c>
      <c r="D391" t="s">
        <v>67</v>
      </c>
      <c r="H391" t="str">
        <f t="shared" si="49"/>
        <v>03524050238</v>
      </c>
      <c r="I391" t="str">
        <f t="shared" si="49"/>
        <v>03524050238</v>
      </c>
      <c r="K391" t="str">
        <f>""</f>
        <v/>
      </c>
      <c r="M391" t="s">
        <v>68</v>
      </c>
      <c r="N391" t="str">
        <f t="shared" si="50"/>
        <v>FOR</v>
      </c>
      <c r="O391" t="s">
        <v>69</v>
      </c>
      <c r="P391" t="s">
        <v>75</v>
      </c>
      <c r="Q391">
        <v>2016</v>
      </c>
      <c r="R391" s="4">
        <v>42551</v>
      </c>
      <c r="S391" s="2">
        <v>42555</v>
      </c>
      <c r="T391" s="2">
        <v>42555</v>
      </c>
      <c r="U391" s="4">
        <v>42615</v>
      </c>
      <c r="V391" t="s">
        <v>71</v>
      </c>
      <c r="W391" t="str">
        <f>"          0740457043"</f>
        <v xml:space="preserve">          0740457043</v>
      </c>
      <c r="X391">
        <v>482.1</v>
      </c>
      <c r="Y391">
        <v>0</v>
      </c>
      <c r="Z391" s="5">
        <v>395.16</v>
      </c>
      <c r="AA391" s="3">
        <v>160</v>
      </c>
      <c r="AB391" s="5">
        <v>63225.599999999999</v>
      </c>
      <c r="AC391">
        <v>395.16</v>
      </c>
      <c r="AD391">
        <v>160</v>
      </c>
      <c r="AE391" s="1">
        <v>63225.599999999999</v>
      </c>
      <c r="AF391">
        <v>0</v>
      </c>
      <c r="AJ391">
        <v>0</v>
      </c>
      <c r="AK391">
        <v>0</v>
      </c>
      <c r="AL391">
        <v>0</v>
      </c>
      <c r="AM391">
        <v>0</v>
      </c>
      <c r="AN391">
        <v>0</v>
      </c>
      <c r="AO391">
        <v>0</v>
      </c>
      <c r="AP391" s="2">
        <v>42831</v>
      </c>
      <c r="AQ391" t="s">
        <v>72</v>
      </c>
      <c r="AR391" t="s">
        <v>72</v>
      </c>
      <c r="AS391">
        <v>373</v>
      </c>
      <c r="AT391" s="4">
        <v>42775</v>
      </c>
      <c r="AU391" t="s">
        <v>73</v>
      </c>
      <c r="AV391">
        <v>373</v>
      </c>
      <c r="AW391" s="4">
        <v>42775</v>
      </c>
      <c r="BD391">
        <v>0</v>
      </c>
      <c r="BN391" t="s">
        <v>74</v>
      </c>
    </row>
    <row r="392" spans="1:66">
      <c r="A392">
        <v>100494</v>
      </c>
      <c r="B392" t="s">
        <v>147</v>
      </c>
      <c r="C392" s="1">
        <v>43300101</v>
      </c>
      <c r="D392" t="s">
        <v>67</v>
      </c>
      <c r="H392" t="str">
        <f t="shared" si="49"/>
        <v>03524050238</v>
      </c>
      <c r="I392" t="str">
        <f t="shared" si="49"/>
        <v>03524050238</v>
      </c>
      <c r="K392" t="str">
        <f>""</f>
        <v/>
      </c>
      <c r="M392" t="s">
        <v>68</v>
      </c>
      <c r="N392" t="str">
        <f t="shared" si="50"/>
        <v>FOR</v>
      </c>
      <c r="O392" t="s">
        <v>69</v>
      </c>
      <c r="P392" t="s">
        <v>75</v>
      </c>
      <c r="Q392">
        <v>2016</v>
      </c>
      <c r="R392" s="4">
        <v>42551</v>
      </c>
      <c r="S392" s="2">
        <v>42556</v>
      </c>
      <c r="T392" s="2">
        <v>42555</v>
      </c>
      <c r="U392" s="4">
        <v>42615</v>
      </c>
      <c r="V392" t="s">
        <v>71</v>
      </c>
      <c r="W392" t="str">
        <f>"          0740457224"</f>
        <v xml:space="preserve">          0740457224</v>
      </c>
      <c r="X392" s="1">
        <v>13908</v>
      </c>
      <c r="Y392">
        <v>0</v>
      </c>
      <c r="Z392" s="5">
        <v>11400</v>
      </c>
      <c r="AA392" s="3">
        <v>160</v>
      </c>
      <c r="AB392" s="5">
        <v>1824000</v>
      </c>
      <c r="AC392" s="1">
        <v>11400</v>
      </c>
      <c r="AD392">
        <v>160</v>
      </c>
      <c r="AE392" s="1">
        <v>1824000</v>
      </c>
      <c r="AF392">
        <v>0</v>
      </c>
      <c r="AJ392">
        <v>0</v>
      </c>
      <c r="AK392">
        <v>0</v>
      </c>
      <c r="AL392">
        <v>0</v>
      </c>
      <c r="AM392">
        <v>0</v>
      </c>
      <c r="AN392">
        <v>0</v>
      </c>
      <c r="AO392">
        <v>0</v>
      </c>
      <c r="AP392" s="2">
        <v>42831</v>
      </c>
      <c r="AQ392" t="s">
        <v>72</v>
      </c>
      <c r="AR392" t="s">
        <v>72</v>
      </c>
      <c r="AS392">
        <v>373</v>
      </c>
      <c r="AT392" s="4">
        <v>42775</v>
      </c>
      <c r="AU392" t="s">
        <v>73</v>
      </c>
      <c r="AV392">
        <v>373</v>
      </c>
      <c r="AW392" s="4">
        <v>42775</v>
      </c>
      <c r="BD392">
        <v>0</v>
      </c>
      <c r="BN392" t="s">
        <v>74</v>
      </c>
    </row>
    <row r="393" spans="1:66">
      <c r="A393">
        <v>100494</v>
      </c>
      <c r="B393" t="s">
        <v>147</v>
      </c>
      <c r="C393" s="1">
        <v>43300101</v>
      </c>
      <c r="D393" t="s">
        <v>67</v>
      </c>
      <c r="H393" t="str">
        <f t="shared" si="49"/>
        <v>03524050238</v>
      </c>
      <c r="I393" t="str">
        <f t="shared" si="49"/>
        <v>03524050238</v>
      </c>
      <c r="K393" t="str">
        <f>""</f>
        <v/>
      </c>
      <c r="M393" t="s">
        <v>68</v>
      </c>
      <c r="N393" t="str">
        <f t="shared" si="50"/>
        <v>FOR</v>
      </c>
      <c r="O393" t="s">
        <v>69</v>
      </c>
      <c r="P393" t="s">
        <v>75</v>
      </c>
      <c r="Q393">
        <v>2016</v>
      </c>
      <c r="R393" s="4">
        <v>42564</v>
      </c>
      <c r="S393" s="2">
        <v>42577</v>
      </c>
      <c r="T393" s="2">
        <v>42567</v>
      </c>
      <c r="U393" s="4">
        <v>42627</v>
      </c>
      <c r="V393" t="s">
        <v>71</v>
      </c>
      <c r="W393" t="str">
        <f>"          0740459386"</f>
        <v xml:space="preserve">          0740459386</v>
      </c>
      <c r="X393">
        <v>351.84</v>
      </c>
      <c r="Y393">
        <v>0</v>
      </c>
      <c r="Z393" s="5">
        <v>288.39</v>
      </c>
      <c r="AA393" s="3">
        <v>166</v>
      </c>
      <c r="AB393" s="5">
        <v>47872.74</v>
      </c>
      <c r="AC393">
        <v>288.39</v>
      </c>
      <c r="AD393">
        <v>166</v>
      </c>
      <c r="AE393" s="1">
        <v>47872.74</v>
      </c>
      <c r="AF393">
        <v>0</v>
      </c>
      <c r="AJ393">
        <v>0</v>
      </c>
      <c r="AK393">
        <v>0</v>
      </c>
      <c r="AL393">
        <v>0</v>
      </c>
      <c r="AM393">
        <v>0</v>
      </c>
      <c r="AN393">
        <v>0</v>
      </c>
      <c r="AO393">
        <v>0</v>
      </c>
      <c r="AP393" s="2">
        <v>42831</v>
      </c>
      <c r="AQ393" t="s">
        <v>72</v>
      </c>
      <c r="AR393" t="s">
        <v>72</v>
      </c>
      <c r="AS393">
        <v>620</v>
      </c>
      <c r="AT393" s="4">
        <v>42793</v>
      </c>
      <c r="AU393" t="s">
        <v>73</v>
      </c>
      <c r="AV393">
        <v>620</v>
      </c>
      <c r="AW393" s="4">
        <v>42793</v>
      </c>
      <c r="BD393">
        <v>0</v>
      </c>
      <c r="BN393" t="s">
        <v>74</v>
      </c>
    </row>
    <row r="394" spans="1:66">
      <c r="A394">
        <v>100494</v>
      </c>
      <c r="B394" t="s">
        <v>147</v>
      </c>
      <c r="C394" s="1">
        <v>43300101</v>
      </c>
      <c r="D394" t="s">
        <v>67</v>
      </c>
      <c r="H394" t="str">
        <f t="shared" si="49"/>
        <v>03524050238</v>
      </c>
      <c r="I394" t="str">
        <f t="shared" si="49"/>
        <v>03524050238</v>
      </c>
      <c r="K394" t="str">
        <f>""</f>
        <v/>
      </c>
      <c r="M394" t="s">
        <v>68</v>
      </c>
      <c r="N394" t="str">
        <f t="shared" si="50"/>
        <v>FOR</v>
      </c>
      <c r="O394" t="s">
        <v>69</v>
      </c>
      <c r="P394" t="s">
        <v>75</v>
      </c>
      <c r="Q394">
        <v>2016</v>
      </c>
      <c r="R394" s="4">
        <v>42564</v>
      </c>
      <c r="S394" s="2">
        <v>42577</v>
      </c>
      <c r="T394" s="2">
        <v>42567</v>
      </c>
      <c r="U394" s="4">
        <v>42627</v>
      </c>
      <c r="V394" t="s">
        <v>71</v>
      </c>
      <c r="W394" t="str">
        <f>"          0740459387"</f>
        <v xml:space="preserve">          0740459387</v>
      </c>
      <c r="X394">
        <v>477.86</v>
      </c>
      <c r="Y394">
        <v>0</v>
      </c>
      <c r="Z394" s="5">
        <v>391.69</v>
      </c>
      <c r="AA394" s="3">
        <v>166</v>
      </c>
      <c r="AB394" s="5">
        <v>65020.54</v>
      </c>
      <c r="AC394">
        <v>391.69</v>
      </c>
      <c r="AD394">
        <v>166</v>
      </c>
      <c r="AE394" s="1">
        <v>65020.54</v>
      </c>
      <c r="AF394">
        <v>0</v>
      </c>
      <c r="AJ394">
        <v>0</v>
      </c>
      <c r="AK394">
        <v>0</v>
      </c>
      <c r="AL394">
        <v>0</v>
      </c>
      <c r="AM394">
        <v>0</v>
      </c>
      <c r="AN394">
        <v>0</v>
      </c>
      <c r="AO394">
        <v>0</v>
      </c>
      <c r="AP394" s="2">
        <v>42831</v>
      </c>
      <c r="AQ394" t="s">
        <v>72</v>
      </c>
      <c r="AR394" t="s">
        <v>72</v>
      </c>
      <c r="AS394">
        <v>620</v>
      </c>
      <c r="AT394" s="4">
        <v>42793</v>
      </c>
      <c r="AU394" t="s">
        <v>73</v>
      </c>
      <c r="AV394">
        <v>620</v>
      </c>
      <c r="AW394" s="4">
        <v>42793</v>
      </c>
      <c r="BD394">
        <v>0</v>
      </c>
      <c r="BN394" t="s">
        <v>74</v>
      </c>
    </row>
    <row r="395" spans="1:66">
      <c r="A395">
        <v>100494</v>
      </c>
      <c r="B395" t="s">
        <v>147</v>
      </c>
      <c r="C395" s="1">
        <v>43300101</v>
      </c>
      <c r="D395" t="s">
        <v>67</v>
      </c>
      <c r="H395" t="str">
        <f t="shared" si="49"/>
        <v>03524050238</v>
      </c>
      <c r="I395" t="str">
        <f t="shared" si="49"/>
        <v>03524050238</v>
      </c>
      <c r="K395" t="str">
        <f>""</f>
        <v/>
      </c>
      <c r="M395" t="s">
        <v>68</v>
      </c>
      <c r="N395" t="str">
        <f t="shared" si="50"/>
        <v>FOR</v>
      </c>
      <c r="O395" t="s">
        <v>69</v>
      </c>
      <c r="P395" t="s">
        <v>75</v>
      </c>
      <c r="Q395">
        <v>2016</v>
      </c>
      <c r="R395" s="4">
        <v>42564</v>
      </c>
      <c r="S395" s="2">
        <v>42577</v>
      </c>
      <c r="T395" s="2">
        <v>42567</v>
      </c>
      <c r="U395" s="4">
        <v>42627</v>
      </c>
      <c r="V395" t="s">
        <v>71</v>
      </c>
      <c r="W395" t="str">
        <f>"          0740459388"</f>
        <v xml:space="preserve">          0740459388</v>
      </c>
      <c r="X395">
        <v>465.39</v>
      </c>
      <c r="Y395">
        <v>0</v>
      </c>
      <c r="Z395" s="5">
        <v>381.47</v>
      </c>
      <c r="AA395" s="3">
        <v>166</v>
      </c>
      <c r="AB395" s="5">
        <v>63324.02</v>
      </c>
      <c r="AC395">
        <v>381.47</v>
      </c>
      <c r="AD395">
        <v>166</v>
      </c>
      <c r="AE395" s="1">
        <v>63324.02</v>
      </c>
      <c r="AF395">
        <v>0</v>
      </c>
      <c r="AJ395">
        <v>0</v>
      </c>
      <c r="AK395">
        <v>0</v>
      </c>
      <c r="AL395">
        <v>0</v>
      </c>
      <c r="AM395">
        <v>0</v>
      </c>
      <c r="AN395">
        <v>0</v>
      </c>
      <c r="AO395">
        <v>0</v>
      </c>
      <c r="AP395" s="2">
        <v>42831</v>
      </c>
      <c r="AQ395" t="s">
        <v>72</v>
      </c>
      <c r="AR395" t="s">
        <v>72</v>
      </c>
      <c r="AS395">
        <v>620</v>
      </c>
      <c r="AT395" s="4">
        <v>42793</v>
      </c>
      <c r="AU395" t="s">
        <v>73</v>
      </c>
      <c r="AV395">
        <v>620</v>
      </c>
      <c r="AW395" s="4">
        <v>42793</v>
      </c>
      <c r="BD395">
        <v>0</v>
      </c>
      <c r="BN395" t="s">
        <v>74</v>
      </c>
    </row>
    <row r="396" spans="1:66">
      <c r="A396">
        <v>100494</v>
      </c>
      <c r="B396" t="s">
        <v>147</v>
      </c>
      <c r="C396" s="1">
        <v>43300101</v>
      </c>
      <c r="D396" t="s">
        <v>67</v>
      </c>
      <c r="H396" t="str">
        <f t="shared" si="49"/>
        <v>03524050238</v>
      </c>
      <c r="I396" t="str">
        <f t="shared" si="49"/>
        <v>03524050238</v>
      </c>
      <c r="K396" t="str">
        <f>""</f>
        <v/>
      </c>
      <c r="M396" t="s">
        <v>68</v>
      </c>
      <c r="N396" t="str">
        <f t="shared" si="50"/>
        <v>FOR</v>
      </c>
      <c r="O396" t="s">
        <v>69</v>
      </c>
      <c r="P396" t="s">
        <v>75</v>
      </c>
      <c r="Q396">
        <v>2016</v>
      </c>
      <c r="R396" s="4">
        <v>42571</v>
      </c>
      <c r="S396" s="2">
        <v>42578</v>
      </c>
      <c r="T396" s="2">
        <v>42572</v>
      </c>
      <c r="U396" s="4">
        <v>42632</v>
      </c>
      <c r="V396" t="s">
        <v>71</v>
      </c>
      <c r="W396" t="str">
        <f>"          0740460592"</f>
        <v xml:space="preserve">          0740460592</v>
      </c>
      <c r="X396">
        <v>504.37</v>
      </c>
      <c r="Y396">
        <v>0</v>
      </c>
      <c r="Z396" s="5">
        <v>413.42</v>
      </c>
      <c r="AA396" s="3">
        <v>161</v>
      </c>
      <c r="AB396" s="5">
        <v>66560.62</v>
      </c>
      <c r="AC396">
        <v>413.42</v>
      </c>
      <c r="AD396">
        <v>161</v>
      </c>
      <c r="AE396" s="1">
        <v>66560.62</v>
      </c>
      <c r="AF396">
        <v>0</v>
      </c>
      <c r="AJ396">
        <v>0</v>
      </c>
      <c r="AK396">
        <v>0</v>
      </c>
      <c r="AL396">
        <v>0</v>
      </c>
      <c r="AM396">
        <v>0</v>
      </c>
      <c r="AN396">
        <v>0</v>
      </c>
      <c r="AO396">
        <v>0</v>
      </c>
      <c r="AP396" s="2">
        <v>42831</v>
      </c>
      <c r="AQ396" t="s">
        <v>72</v>
      </c>
      <c r="AR396" t="s">
        <v>72</v>
      </c>
      <c r="AS396">
        <v>620</v>
      </c>
      <c r="AT396" s="4">
        <v>42793</v>
      </c>
      <c r="AU396" t="s">
        <v>73</v>
      </c>
      <c r="AV396">
        <v>620</v>
      </c>
      <c r="AW396" s="4">
        <v>42793</v>
      </c>
      <c r="BD396">
        <v>0</v>
      </c>
      <c r="BN396" t="s">
        <v>74</v>
      </c>
    </row>
    <row r="397" spans="1:66">
      <c r="A397">
        <v>100494</v>
      </c>
      <c r="B397" t="s">
        <v>147</v>
      </c>
      <c r="C397" s="1">
        <v>43300101</v>
      </c>
      <c r="D397" t="s">
        <v>67</v>
      </c>
      <c r="H397" t="str">
        <f t="shared" si="49"/>
        <v>03524050238</v>
      </c>
      <c r="I397" t="str">
        <f t="shared" si="49"/>
        <v>03524050238</v>
      </c>
      <c r="K397" t="str">
        <f>""</f>
        <v/>
      </c>
      <c r="M397" t="s">
        <v>68</v>
      </c>
      <c r="N397" t="str">
        <f t="shared" si="50"/>
        <v>FOR</v>
      </c>
      <c r="O397" t="s">
        <v>69</v>
      </c>
      <c r="P397" t="s">
        <v>75</v>
      </c>
      <c r="Q397">
        <v>2016</v>
      </c>
      <c r="R397" s="4">
        <v>42586</v>
      </c>
      <c r="S397" s="2">
        <v>42591</v>
      </c>
      <c r="T397" s="2">
        <v>42590</v>
      </c>
      <c r="U397" s="4">
        <v>42650</v>
      </c>
      <c r="V397" t="s">
        <v>71</v>
      </c>
      <c r="W397" t="str">
        <f>"          0740463619"</f>
        <v xml:space="preserve">          0740463619</v>
      </c>
      <c r="X397" s="1">
        <v>1071.8399999999999</v>
      </c>
      <c r="Y397">
        <v>0</v>
      </c>
      <c r="Z397" s="5">
        <v>974.4</v>
      </c>
      <c r="AA397" s="3">
        <v>143</v>
      </c>
      <c r="AB397" s="5">
        <v>139339.20000000001</v>
      </c>
      <c r="AC397">
        <v>974.4</v>
      </c>
      <c r="AD397">
        <v>143</v>
      </c>
      <c r="AE397" s="1">
        <v>139339.20000000001</v>
      </c>
      <c r="AF397">
        <v>0</v>
      </c>
      <c r="AJ397">
        <v>0</v>
      </c>
      <c r="AK397">
        <v>0</v>
      </c>
      <c r="AL397">
        <v>0</v>
      </c>
      <c r="AM397">
        <v>0</v>
      </c>
      <c r="AN397">
        <v>0</v>
      </c>
      <c r="AO397">
        <v>0</v>
      </c>
      <c r="AP397" s="2">
        <v>42831</v>
      </c>
      <c r="AQ397" t="s">
        <v>72</v>
      </c>
      <c r="AR397" t="s">
        <v>72</v>
      </c>
      <c r="AS397">
        <v>620</v>
      </c>
      <c r="AT397" s="4">
        <v>42793</v>
      </c>
      <c r="AU397" t="s">
        <v>73</v>
      </c>
      <c r="AV397">
        <v>620</v>
      </c>
      <c r="AW397" s="4">
        <v>42793</v>
      </c>
      <c r="BD397">
        <v>0</v>
      </c>
      <c r="BN397" t="s">
        <v>74</v>
      </c>
    </row>
    <row r="398" spans="1:66">
      <c r="A398">
        <v>100496</v>
      </c>
      <c r="B398" t="s">
        <v>148</v>
      </c>
      <c r="C398" s="1">
        <v>43300101</v>
      </c>
      <c r="D398" t="s">
        <v>67</v>
      </c>
      <c r="H398" t="str">
        <f>"10454960153"</f>
        <v>10454960153</v>
      </c>
      <c r="I398" t="str">
        <f>"10454960153"</f>
        <v>10454960153</v>
      </c>
      <c r="K398" t="str">
        <f>""</f>
        <v/>
      </c>
      <c r="M398" t="s">
        <v>68</v>
      </c>
      <c r="N398" t="str">
        <f t="shared" si="50"/>
        <v>FOR</v>
      </c>
      <c r="O398" t="s">
        <v>69</v>
      </c>
      <c r="P398" t="s">
        <v>75</v>
      </c>
      <c r="Q398">
        <v>2016</v>
      </c>
      <c r="R398" s="4">
        <v>42705</v>
      </c>
      <c r="S398" s="2">
        <v>42706</v>
      </c>
      <c r="T398" s="2">
        <v>42705</v>
      </c>
      <c r="U398" s="4">
        <v>42765</v>
      </c>
      <c r="V398" t="s">
        <v>71</v>
      </c>
      <c r="W398" t="str">
        <f>"               80/FE"</f>
        <v xml:space="preserve">               80/FE</v>
      </c>
      <c r="X398" s="1">
        <v>5453.4</v>
      </c>
      <c r="Y398">
        <v>0</v>
      </c>
      <c r="Z398" s="5">
        <v>4470</v>
      </c>
      <c r="AA398" s="3">
        <v>10</v>
      </c>
      <c r="AB398" s="5">
        <v>44700</v>
      </c>
      <c r="AC398" s="1">
        <v>4470</v>
      </c>
      <c r="AD398">
        <v>10</v>
      </c>
      <c r="AE398" s="1">
        <v>44700</v>
      </c>
      <c r="AF398">
        <v>0</v>
      </c>
      <c r="AJ398">
        <v>0</v>
      </c>
      <c r="AK398">
        <v>0</v>
      </c>
      <c r="AL398">
        <v>0</v>
      </c>
      <c r="AM398">
        <v>0</v>
      </c>
      <c r="AN398">
        <v>0</v>
      </c>
      <c r="AO398">
        <v>0</v>
      </c>
      <c r="AP398" s="2">
        <v>42831</v>
      </c>
      <c r="AQ398" t="s">
        <v>72</v>
      </c>
      <c r="AR398" t="s">
        <v>72</v>
      </c>
      <c r="AS398">
        <v>383</v>
      </c>
      <c r="AT398" s="4">
        <v>42775</v>
      </c>
      <c r="AU398" t="s">
        <v>73</v>
      </c>
      <c r="AV398">
        <v>383</v>
      </c>
      <c r="AW398" s="4">
        <v>42775</v>
      </c>
      <c r="BD398">
        <v>0</v>
      </c>
      <c r="BN398" t="s">
        <v>74</v>
      </c>
    </row>
    <row r="399" spans="1:66">
      <c r="A399">
        <v>100500</v>
      </c>
      <c r="B399" t="s">
        <v>149</v>
      </c>
      <c r="C399" s="1">
        <v>43300101</v>
      </c>
      <c r="D399" t="s">
        <v>67</v>
      </c>
      <c r="H399" t="str">
        <f>"02401440157"</f>
        <v>02401440157</v>
      </c>
      <c r="I399" t="str">
        <f>"00777280157"</f>
        <v>00777280157</v>
      </c>
      <c r="K399" t="str">
        <f>""</f>
        <v/>
      </c>
      <c r="M399" t="s">
        <v>68</v>
      </c>
      <c r="N399" t="str">
        <f t="shared" si="50"/>
        <v>FOR</v>
      </c>
      <c r="O399" t="s">
        <v>69</v>
      </c>
      <c r="P399" t="s">
        <v>75</v>
      </c>
      <c r="Q399">
        <v>2016</v>
      </c>
      <c r="R399" s="4">
        <v>42538</v>
      </c>
      <c r="S399" s="2">
        <v>42543</v>
      </c>
      <c r="T399" s="2">
        <v>42538</v>
      </c>
      <c r="U399" s="4">
        <v>42598</v>
      </c>
      <c r="V399" t="s">
        <v>71</v>
      </c>
      <c r="W399" t="str">
        <f>"          1180201195"</f>
        <v xml:space="preserve">          1180201195</v>
      </c>
      <c r="X399">
        <v>292.8</v>
      </c>
      <c r="Y399">
        <v>0</v>
      </c>
      <c r="Z399" s="5">
        <v>240</v>
      </c>
      <c r="AA399" s="3">
        <v>170</v>
      </c>
      <c r="AB399" s="5">
        <v>40800</v>
      </c>
      <c r="AC399">
        <v>240</v>
      </c>
      <c r="AD399">
        <v>170</v>
      </c>
      <c r="AE399" s="1">
        <v>40800</v>
      </c>
      <c r="AF399">
        <v>0</v>
      </c>
      <c r="AJ399">
        <v>0</v>
      </c>
      <c r="AK399">
        <v>0</v>
      </c>
      <c r="AL399">
        <v>0</v>
      </c>
      <c r="AM399">
        <v>0</v>
      </c>
      <c r="AN399">
        <v>0</v>
      </c>
      <c r="AO399">
        <v>0</v>
      </c>
      <c r="AP399" s="2">
        <v>42831</v>
      </c>
      <c r="AQ399" t="s">
        <v>72</v>
      </c>
      <c r="AR399" t="s">
        <v>72</v>
      </c>
      <c r="AS399">
        <v>249</v>
      </c>
      <c r="AT399" s="4">
        <v>42768</v>
      </c>
      <c r="AU399" t="s">
        <v>73</v>
      </c>
      <c r="AV399">
        <v>249</v>
      </c>
      <c r="AW399" s="4">
        <v>42768</v>
      </c>
      <c r="BD399">
        <v>0</v>
      </c>
      <c r="BN399" t="s">
        <v>74</v>
      </c>
    </row>
    <row r="400" spans="1:66">
      <c r="A400">
        <v>100500</v>
      </c>
      <c r="B400" t="s">
        <v>149</v>
      </c>
      <c r="C400" s="1">
        <v>43300101</v>
      </c>
      <c r="D400" t="s">
        <v>67</v>
      </c>
      <c r="H400" t="str">
        <f>"02401440157"</f>
        <v>02401440157</v>
      </c>
      <c r="I400" t="str">
        <f>"00777280157"</f>
        <v>00777280157</v>
      </c>
      <c r="K400" t="str">
        <f>""</f>
        <v/>
      </c>
      <c r="M400" t="s">
        <v>68</v>
      </c>
      <c r="N400" t="str">
        <f t="shared" si="50"/>
        <v>FOR</v>
      </c>
      <c r="O400" t="s">
        <v>69</v>
      </c>
      <c r="P400" t="s">
        <v>75</v>
      </c>
      <c r="Q400">
        <v>2016</v>
      </c>
      <c r="R400" s="4">
        <v>42544</v>
      </c>
      <c r="S400" s="2">
        <v>42550</v>
      </c>
      <c r="T400" s="2">
        <v>42544</v>
      </c>
      <c r="U400" s="4">
        <v>42604</v>
      </c>
      <c r="V400" t="s">
        <v>71</v>
      </c>
      <c r="W400" t="str">
        <f>"          1180203131"</f>
        <v xml:space="preserve">          1180203131</v>
      </c>
      <c r="X400">
        <v>878.4</v>
      </c>
      <c r="Y400">
        <v>0</v>
      </c>
      <c r="Z400" s="5">
        <v>720</v>
      </c>
      <c r="AA400" s="3">
        <v>164</v>
      </c>
      <c r="AB400" s="5">
        <v>118080</v>
      </c>
      <c r="AC400">
        <v>720</v>
      </c>
      <c r="AD400">
        <v>164</v>
      </c>
      <c r="AE400" s="1">
        <v>118080</v>
      </c>
      <c r="AF400">
        <v>0</v>
      </c>
      <c r="AJ400">
        <v>0</v>
      </c>
      <c r="AK400">
        <v>0</v>
      </c>
      <c r="AL400">
        <v>0</v>
      </c>
      <c r="AM400">
        <v>0</v>
      </c>
      <c r="AN400">
        <v>0</v>
      </c>
      <c r="AO400">
        <v>0</v>
      </c>
      <c r="AP400" s="2">
        <v>42831</v>
      </c>
      <c r="AQ400" t="s">
        <v>72</v>
      </c>
      <c r="AR400" t="s">
        <v>72</v>
      </c>
      <c r="AS400">
        <v>249</v>
      </c>
      <c r="AT400" s="4">
        <v>42768</v>
      </c>
      <c r="AU400" t="s">
        <v>73</v>
      </c>
      <c r="AV400">
        <v>249</v>
      </c>
      <c r="AW400" s="4">
        <v>42768</v>
      </c>
      <c r="BD400">
        <v>0</v>
      </c>
      <c r="BN400" t="s">
        <v>74</v>
      </c>
    </row>
    <row r="401" spans="1:66">
      <c r="A401">
        <v>100500</v>
      </c>
      <c r="B401" t="s">
        <v>149</v>
      </c>
      <c r="C401" s="1">
        <v>43300101</v>
      </c>
      <c r="D401" t="s">
        <v>67</v>
      </c>
      <c r="H401" t="str">
        <f>"02401440157"</f>
        <v>02401440157</v>
      </c>
      <c r="I401" t="str">
        <f>"00777280157"</f>
        <v>00777280157</v>
      </c>
      <c r="K401" t="str">
        <f>""</f>
        <v/>
      </c>
      <c r="M401" t="s">
        <v>68</v>
      </c>
      <c r="N401" t="str">
        <f t="shared" si="50"/>
        <v>FOR</v>
      </c>
      <c r="O401" t="s">
        <v>69</v>
      </c>
      <c r="P401" t="s">
        <v>75</v>
      </c>
      <c r="Q401">
        <v>2016</v>
      </c>
      <c r="R401" s="4">
        <v>42662</v>
      </c>
      <c r="S401" s="2">
        <v>42669</v>
      </c>
      <c r="T401" s="2">
        <v>42662</v>
      </c>
      <c r="U401" s="4">
        <v>42722</v>
      </c>
      <c r="V401" t="s">
        <v>71</v>
      </c>
      <c r="W401" t="str">
        <f>"          1180240697"</f>
        <v xml:space="preserve">          1180240697</v>
      </c>
      <c r="X401" s="1">
        <v>1405.44</v>
      </c>
      <c r="Y401">
        <v>0</v>
      </c>
      <c r="Z401" s="5">
        <v>1152</v>
      </c>
      <c r="AA401" s="3">
        <v>46</v>
      </c>
      <c r="AB401" s="5">
        <v>52992</v>
      </c>
      <c r="AC401" s="1">
        <v>1152</v>
      </c>
      <c r="AD401">
        <v>46</v>
      </c>
      <c r="AE401" s="1">
        <v>52992</v>
      </c>
      <c r="AF401">
        <v>0</v>
      </c>
      <c r="AJ401">
        <v>0</v>
      </c>
      <c r="AK401">
        <v>0</v>
      </c>
      <c r="AL401">
        <v>0</v>
      </c>
      <c r="AM401">
        <v>0</v>
      </c>
      <c r="AN401">
        <v>0</v>
      </c>
      <c r="AO401">
        <v>0</v>
      </c>
      <c r="AP401" s="2">
        <v>42831</v>
      </c>
      <c r="AQ401" t="s">
        <v>72</v>
      </c>
      <c r="AR401" t="s">
        <v>72</v>
      </c>
      <c r="AS401">
        <v>249</v>
      </c>
      <c r="AT401" s="4">
        <v>42768</v>
      </c>
      <c r="AU401" t="s">
        <v>73</v>
      </c>
      <c r="AV401">
        <v>249</v>
      </c>
      <c r="AW401" s="4">
        <v>42768</v>
      </c>
      <c r="BD401">
        <v>0</v>
      </c>
      <c r="BN401" t="s">
        <v>74</v>
      </c>
    </row>
    <row r="402" spans="1:66">
      <c r="A402">
        <v>100512</v>
      </c>
      <c r="B402" t="s">
        <v>150</v>
      </c>
      <c r="C402" s="1">
        <v>43500101</v>
      </c>
      <c r="D402" t="s">
        <v>98</v>
      </c>
      <c r="H402" t="str">
        <f>"GGLCCT80M44A783D"</f>
        <v>GGLCCT80M44A783D</v>
      </c>
      <c r="I402" t="str">
        <f>"01407950623"</f>
        <v>01407950623</v>
      </c>
      <c r="K402" t="str">
        <f>""</f>
        <v/>
      </c>
      <c r="M402" t="s">
        <v>68</v>
      </c>
      <c r="N402" t="str">
        <f>"ALTPRO"</f>
        <v>ALTPRO</v>
      </c>
      <c r="O402" t="s">
        <v>116</v>
      </c>
      <c r="P402" t="s">
        <v>75</v>
      </c>
      <c r="Q402">
        <v>2017</v>
      </c>
      <c r="R402" s="4">
        <v>42755</v>
      </c>
      <c r="S402" s="2">
        <v>42758</v>
      </c>
      <c r="T402" s="2">
        <v>42755</v>
      </c>
      <c r="U402" s="4">
        <v>42815</v>
      </c>
      <c r="V402" t="s">
        <v>71</v>
      </c>
      <c r="W402" t="str">
        <f>"         FATTPA 1_17"</f>
        <v xml:space="preserve">         FATTPA 1_17</v>
      </c>
      <c r="X402" s="1">
        <v>2634</v>
      </c>
      <c r="Y402">
        <v>-526.79999999999995</v>
      </c>
      <c r="Z402" s="5">
        <v>2107.1999999999998</v>
      </c>
      <c r="AA402" s="3">
        <v>-50</v>
      </c>
      <c r="AB402" s="5">
        <v>-105360</v>
      </c>
      <c r="AC402" s="1">
        <v>2107.1999999999998</v>
      </c>
      <c r="AD402">
        <v>-50</v>
      </c>
      <c r="AE402" s="1">
        <v>-105360</v>
      </c>
      <c r="AF402">
        <v>0</v>
      </c>
      <c r="AJ402">
        <v>-526.79999999999995</v>
      </c>
      <c r="AK402" s="1">
        <v>2107.1999999999998</v>
      </c>
      <c r="AL402" s="1">
        <v>2107.1999999999998</v>
      </c>
      <c r="AM402">
        <v>-526.79999999999995</v>
      </c>
      <c r="AN402" s="1">
        <v>2107.1999999999998</v>
      </c>
      <c r="AO402" s="1">
        <v>2107.1999999999998</v>
      </c>
      <c r="AP402" s="2">
        <v>42831</v>
      </c>
      <c r="AQ402" t="s">
        <v>72</v>
      </c>
      <c r="AR402" t="s">
        <v>72</v>
      </c>
      <c r="AS402">
        <v>112</v>
      </c>
      <c r="AT402" s="4">
        <v>42765</v>
      </c>
      <c r="AV402">
        <v>112</v>
      </c>
      <c r="AW402" s="4">
        <v>42765</v>
      </c>
      <c r="BD402">
        <v>0</v>
      </c>
      <c r="BN402" t="s">
        <v>74</v>
      </c>
    </row>
    <row r="403" spans="1:66">
      <c r="A403">
        <v>100512</v>
      </c>
      <c r="B403" t="s">
        <v>150</v>
      </c>
      <c r="C403" s="1">
        <v>43500101</v>
      </c>
      <c r="D403" t="s">
        <v>98</v>
      </c>
      <c r="H403" t="str">
        <f>"GGLCCT80M44A783D"</f>
        <v>GGLCCT80M44A783D</v>
      </c>
      <c r="I403" t="str">
        <f>"01407950623"</f>
        <v>01407950623</v>
      </c>
      <c r="K403" t="str">
        <f>""</f>
        <v/>
      </c>
      <c r="M403" t="s">
        <v>68</v>
      </c>
      <c r="N403" t="str">
        <f>"ALTPRO"</f>
        <v>ALTPRO</v>
      </c>
      <c r="O403" t="s">
        <v>116</v>
      </c>
      <c r="P403" t="s">
        <v>75</v>
      </c>
      <c r="Q403">
        <v>2017</v>
      </c>
      <c r="R403" s="4">
        <v>42774</v>
      </c>
      <c r="S403" s="2">
        <v>42775</v>
      </c>
      <c r="T403" s="2">
        <v>42774</v>
      </c>
      <c r="U403" s="4">
        <v>42834</v>
      </c>
      <c r="V403" t="s">
        <v>71</v>
      </c>
      <c r="W403" t="str">
        <f>"         FATTPA 2_17"</f>
        <v xml:space="preserve">         FATTPA 2_17</v>
      </c>
      <c r="X403" s="1">
        <v>2405.7199999999998</v>
      </c>
      <c r="Y403">
        <v>-481.14</v>
      </c>
      <c r="Z403" s="5">
        <v>1924.58</v>
      </c>
      <c r="AA403" s="3">
        <v>-58</v>
      </c>
      <c r="AB403" s="5">
        <v>-111625.64</v>
      </c>
      <c r="AC403" s="1">
        <v>1924.58</v>
      </c>
      <c r="AD403">
        <v>-58</v>
      </c>
      <c r="AE403" s="1">
        <v>-111625.64</v>
      </c>
      <c r="AF403">
        <v>0</v>
      </c>
      <c r="AJ403" s="1">
        <v>1924.58</v>
      </c>
      <c r="AK403" s="1">
        <v>1924.58</v>
      </c>
      <c r="AL403" s="1">
        <v>1924.58</v>
      </c>
      <c r="AM403" s="1">
        <v>1924.58</v>
      </c>
      <c r="AN403" s="1">
        <v>1924.58</v>
      </c>
      <c r="AO403" s="1">
        <v>1924.58</v>
      </c>
      <c r="AP403" s="2">
        <v>42831</v>
      </c>
      <c r="AQ403" t="s">
        <v>72</v>
      </c>
      <c r="AR403" t="s">
        <v>72</v>
      </c>
      <c r="AS403">
        <v>404</v>
      </c>
      <c r="AT403" s="4">
        <v>42776</v>
      </c>
      <c r="AV403">
        <v>404</v>
      </c>
      <c r="AW403" s="4">
        <v>42776</v>
      </c>
      <c r="BD403">
        <v>0</v>
      </c>
      <c r="BN403" t="s">
        <v>74</v>
      </c>
    </row>
    <row r="404" spans="1:66">
      <c r="A404">
        <v>100512</v>
      </c>
      <c r="B404" t="s">
        <v>150</v>
      </c>
      <c r="C404" s="1">
        <v>43500101</v>
      </c>
      <c r="D404" t="s">
        <v>98</v>
      </c>
      <c r="H404" t="str">
        <f>"GGLCCT80M44A783D"</f>
        <v>GGLCCT80M44A783D</v>
      </c>
      <c r="I404" t="str">
        <f>"01407950623"</f>
        <v>01407950623</v>
      </c>
      <c r="K404" t="str">
        <f>""</f>
        <v/>
      </c>
      <c r="M404" t="s">
        <v>68</v>
      </c>
      <c r="N404" t="str">
        <f>"ALTPRO"</f>
        <v>ALTPRO</v>
      </c>
      <c r="O404" t="s">
        <v>116</v>
      </c>
      <c r="P404" t="s">
        <v>75</v>
      </c>
      <c r="Q404">
        <v>2017</v>
      </c>
      <c r="R404" s="4">
        <v>42797</v>
      </c>
      <c r="S404" s="2">
        <v>42797</v>
      </c>
      <c r="T404" s="2">
        <v>42797</v>
      </c>
      <c r="U404" s="4">
        <v>42857</v>
      </c>
      <c r="V404" t="s">
        <v>71</v>
      </c>
      <c r="W404" t="str">
        <f>"         FATTPA 3_17"</f>
        <v xml:space="preserve">         FATTPA 3_17</v>
      </c>
      <c r="X404" s="1">
        <v>2528.64</v>
      </c>
      <c r="Y404">
        <v>-505.73</v>
      </c>
      <c r="Z404" s="5">
        <v>2022.91</v>
      </c>
      <c r="AA404" s="3">
        <v>-57</v>
      </c>
      <c r="AB404" s="5">
        <v>-115305.87</v>
      </c>
      <c r="AC404" s="1">
        <v>2022.91</v>
      </c>
      <c r="AD404">
        <v>-57</v>
      </c>
      <c r="AE404" s="1">
        <v>-115305.87</v>
      </c>
      <c r="AF404">
        <v>0</v>
      </c>
      <c r="AJ404" s="1">
        <v>2022.91</v>
      </c>
      <c r="AK404" s="1">
        <v>2022.91</v>
      </c>
      <c r="AL404" s="1">
        <v>2022.91</v>
      </c>
      <c r="AM404" s="1">
        <v>2022.91</v>
      </c>
      <c r="AN404" s="1">
        <v>2022.91</v>
      </c>
      <c r="AO404" s="1">
        <v>2022.91</v>
      </c>
      <c r="AP404" s="2">
        <v>42831</v>
      </c>
      <c r="AQ404" t="s">
        <v>72</v>
      </c>
      <c r="AR404" t="s">
        <v>72</v>
      </c>
      <c r="AS404">
        <v>733</v>
      </c>
      <c r="AT404" s="4">
        <v>42800</v>
      </c>
      <c r="AV404">
        <v>733</v>
      </c>
      <c r="AW404" s="4">
        <v>42800</v>
      </c>
      <c r="BD404">
        <v>0</v>
      </c>
      <c r="BN404" t="s">
        <v>74</v>
      </c>
    </row>
    <row r="405" spans="1:66" hidden="1">
      <c r="A405">
        <v>100514</v>
      </c>
      <c r="B405" t="s">
        <v>151</v>
      </c>
      <c r="C405" s="1">
        <v>43500101</v>
      </c>
      <c r="D405" t="s">
        <v>98</v>
      </c>
      <c r="H405" t="str">
        <f>"CTTMSV61B55I277Y"</f>
        <v>CTTMSV61B55I277Y</v>
      </c>
      <c r="I405" t="str">
        <f>""</f>
        <v/>
      </c>
      <c r="K405" t="str">
        <f>""</f>
        <v/>
      </c>
      <c r="M405" t="s">
        <v>68</v>
      </c>
      <c r="N405" t="str">
        <f>"ALT"</f>
        <v>ALT</v>
      </c>
      <c r="O405" t="s">
        <v>99</v>
      </c>
      <c r="P405" t="s">
        <v>82</v>
      </c>
      <c r="Q405">
        <v>2017</v>
      </c>
      <c r="R405" s="4">
        <v>42755</v>
      </c>
      <c r="S405" s="2">
        <v>42755</v>
      </c>
      <c r="T405" s="2">
        <v>42755</v>
      </c>
      <c r="U405" s="4">
        <v>42815</v>
      </c>
      <c r="V405" t="s">
        <v>71</v>
      </c>
      <c r="W405" t="str">
        <f>"                0120"</f>
        <v xml:space="preserve">                0120</v>
      </c>
      <c r="X405">
        <v>0</v>
      </c>
      <c r="Y405">
        <v>500</v>
      </c>
      <c r="Z405" s="3">
        <v>500</v>
      </c>
      <c r="AA405" s="3">
        <v>-57</v>
      </c>
      <c r="AB405" s="5">
        <v>-28500</v>
      </c>
      <c r="AC405">
        <v>500</v>
      </c>
      <c r="AD405">
        <v>-57</v>
      </c>
      <c r="AE405" s="1">
        <v>-28500</v>
      </c>
      <c r="AF405">
        <v>0</v>
      </c>
      <c r="AJ405">
        <v>500</v>
      </c>
      <c r="AK405">
        <v>500</v>
      </c>
      <c r="AL405">
        <v>500</v>
      </c>
      <c r="AM405">
        <v>500</v>
      </c>
      <c r="AN405">
        <v>500</v>
      </c>
      <c r="AO405">
        <v>500</v>
      </c>
      <c r="AP405" s="2">
        <v>42831</v>
      </c>
      <c r="AQ405" t="s">
        <v>72</v>
      </c>
      <c r="AR405" t="s">
        <v>72</v>
      </c>
      <c r="AS405">
        <v>31</v>
      </c>
      <c r="AT405" s="4">
        <v>42758</v>
      </c>
      <c r="AV405">
        <v>31</v>
      </c>
      <c r="AW405" s="4">
        <v>42758</v>
      </c>
      <c r="BD405">
        <v>0</v>
      </c>
      <c r="BN405" t="s">
        <v>74</v>
      </c>
    </row>
    <row r="406" spans="1:66" hidden="1">
      <c r="A406">
        <v>100514</v>
      </c>
      <c r="B406" t="s">
        <v>151</v>
      </c>
      <c r="C406" s="1">
        <v>43500101</v>
      </c>
      <c r="D406" t="s">
        <v>98</v>
      </c>
      <c r="H406" t="str">
        <f>"CTTMSV61B55I277Y"</f>
        <v>CTTMSV61B55I277Y</v>
      </c>
      <c r="I406" t="str">
        <f>""</f>
        <v/>
      </c>
      <c r="K406" t="str">
        <f>""</f>
        <v/>
      </c>
      <c r="M406" t="s">
        <v>68</v>
      </c>
      <c r="N406" t="str">
        <f>"ALT"</f>
        <v>ALT</v>
      </c>
      <c r="O406" t="s">
        <v>99</v>
      </c>
      <c r="P406" t="s">
        <v>83</v>
      </c>
      <c r="Q406">
        <v>2017</v>
      </c>
      <c r="R406" s="4">
        <v>42786</v>
      </c>
      <c r="S406" s="2">
        <v>42787</v>
      </c>
      <c r="T406" s="2">
        <v>42787</v>
      </c>
      <c r="U406" s="4">
        <v>42847</v>
      </c>
      <c r="V406" t="s">
        <v>71</v>
      </c>
      <c r="W406" t="str">
        <f>"                0220"</f>
        <v xml:space="preserve">                0220</v>
      </c>
      <c r="X406">
        <v>0</v>
      </c>
      <c r="Y406">
        <v>500</v>
      </c>
      <c r="Z406" s="3">
        <v>500</v>
      </c>
      <c r="AA406" s="3">
        <v>-60</v>
      </c>
      <c r="AB406" s="5">
        <v>-30000</v>
      </c>
      <c r="AC406">
        <v>500</v>
      </c>
      <c r="AD406">
        <v>-60</v>
      </c>
      <c r="AE406" s="1">
        <v>-30000</v>
      </c>
      <c r="AF406">
        <v>0</v>
      </c>
      <c r="AJ406">
        <v>500</v>
      </c>
      <c r="AK406">
        <v>500</v>
      </c>
      <c r="AL406">
        <v>500</v>
      </c>
      <c r="AM406">
        <v>500</v>
      </c>
      <c r="AN406">
        <v>500</v>
      </c>
      <c r="AO406">
        <v>500</v>
      </c>
      <c r="AP406" s="2">
        <v>42831</v>
      </c>
      <c r="AQ406" t="s">
        <v>72</v>
      </c>
      <c r="AR406" t="s">
        <v>72</v>
      </c>
      <c r="AS406">
        <v>511</v>
      </c>
      <c r="AT406" s="4">
        <v>42787</v>
      </c>
      <c r="AV406">
        <v>511</v>
      </c>
      <c r="AW406" s="4">
        <v>42787</v>
      </c>
      <c r="BD406">
        <v>0</v>
      </c>
      <c r="BN406" t="s">
        <v>74</v>
      </c>
    </row>
    <row r="407" spans="1:66" hidden="1">
      <c r="A407">
        <v>100514</v>
      </c>
      <c r="B407" t="s">
        <v>151</v>
      </c>
      <c r="C407" s="1">
        <v>43500101</v>
      </c>
      <c r="D407" t="s">
        <v>98</v>
      </c>
      <c r="H407" t="str">
        <f>"CTTMSV61B55I277Y"</f>
        <v>CTTMSV61B55I277Y</v>
      </c>
      <c r="I407" t="str">
        <f>""</f>
        <v/>
      </c>
      <c r="K407" t="str">
        <f>""</f>
        <v/>
      </c>
      <c r="M407" t="s">
        <v>68</v>
      </c>
      <c r="N407" t="str">
        <f>"ALT"</f>
        <v>ALT</v>
      </c>
      <c r="O407" t="s">
        <v>99</v>
      </c>
      <c r="P407" t="s">
        <v>84</v>
      </c>
      <c r="Q407">
        <v>2017</v>
      </c>
      <c r="R407" s="4">
        <v>42815</v>
      </c>
      <c r="S407" s="2">
        <v>42815</v>
      </c>
      <c r="T407" s="2">
        <v>42815</v>
      </c>
      <c r="U407" s="4">
        <v>42875</v>
      </c>
      <c r="V407" t="s">
        <v>71</v>
      </c>
      <c r="W407" t="str">
        <f>"                0321"</f>
        <v xml:space="preserve">                0321</v>
      </c>
      <c r="X407">
        <v>0</v>
      </c>
      <c r="Y407">
        <v>500</v>
      </c>
      <c r="Z407" s="3">
        <v>500</v>
      </c>
      <c r="AA407" s="3">
        <v>-60</v>
      </c>
      <c r="AB407" s="5">
        <v>-30000</v>
      </c>
      <c r="AC407">
        <v>500</v>
      </c>
      <c r="AD407">
        <v>-60</v>
      </c>
      <c r="AE407" s="1">
        <v>-30000</v>
      </c>
      <c r="AF407">
        <v>0</v>
      </c>
      <c r="AJ407">
        <v>500</v>
      </c>
      <c r="AK407">
        <v>500</v>
      </c>
      <c r="AL407">
        <v>500</v>
      </c>
      <c r="AM407">
        <v>500</v>
      </c>
      <c r="AN407">
        <v>500</v>
      </c>
      <c r="AO407">
        <v>500</v>
      </c>
      <c r="AP407" s="2">
        <v>42831</v>
      </c>
      <c r="AQ407" t="s">
        <v>72</v>
      </c>
      <c r="AR407" t="s">
        <v>72</v>
      </c>
      <c r="AS407">
        <v>808</v>
      </c>
      <c r="AT407" s="4">
        <v>42815</v>
      </c>
      <c r="AV407">
        <v>808</v>
      </c>
      <c r="AW407" s="4">
        <v>42815</v>
      </c>
      <c r="BD407">
        <v>0</v>
      </c>
      <c r="BN407" t="s">
        <v>74</v>
      </c>
    </row>
    <row r="408" spans="1:66">
      <c r="A408">
        <v>100534</v>
      </c>
      <c r="B408" t="s">
        <v>152</v>
      </c>
      <c r="C408" s="1">
        <v>43300101</v>
      </c>
      <c r="D408" t="s">
        <v>67</v>
      </c>
      <c r="H408" t="str">
        <f>""</f>
        <v/>
      </c>
      <c r="I408" t="str">
        <f>"05300111217"</f>
        <v>05300111217</v>
      </c>
      <c r="K408" t="str">
        <f>""</f>
        <v/>
      </c>
      <c r="M408" t="s">
        <v>68</v>
      </c>
      <c r="N408" t="str">
        <f t="shared" ref="N408:N441" si="51">"FOR"</f>
        <v>FOR</v>
      </c>
      <c r="O408" t="s">
        <v>69</v>
      </c>
      <c r="P408" t="s">
        <v>70</v>
      </c>
      <c r="Q408">
        <v>2016</v>
      </c>
      <c r="R408" s="4">
        <v>42387</v>
      </c>
      <c r="S408" s="2">
        <v>42639</v>
      </c>
      <c r="T408" s="2">
        <v>42639</v>
      </c>
      <c r="U408" s="4">
        <v>42699</v>
      </c>
      <c r="V408" t="s">
        <v>71</v>
      </c>
      <c r="W408" t="str">
        <f>"         FATTPA 1_16"</f>
        <v xml:space="preserve">         FATTPA 1_16</v>
      </c>
      <c r="X408">
        <v>732</v>
      </c>
      <c r="Y408">
        <v>0</v>
      </c>
      <c r="Z408" s="5">
        <v>600</v>
      </c>
      <c r="AA408" s="3">
        <v>69</v>
      </c>
      <c r="AB408" s="5">
        <v>41400</v>
      </c>
      <c r="AC408">
        <v>600</v>
      </c>
      <c r="AD408">
        <v>69</v>
      </c>
      <c r="AE408" s="1">
        <v>41400</v>
      </c>
      <c r="AF408">
        <v>0</v>
      </c>
      <c r="AJ408">
        <v>0</v>
      </c>
      <c r="AK408">
        <v>0</v>
      </c>
      <c r="AL408">
        <v>0</v>
      </c>
      <c r="AM408">
        <v>0</v>
      </c>
      <c r="AN408">
        <v>0</v>
      </c>
      <c r="AO408">
        <v>0</v>
      </c>
      <c r="AP408" s="2">
        <v>42831</v>
      </c>
      <c r="AQ408" t="s">
        <v>72</v>
      </c>
      <c r="AR408" t="s">
        <v>72</v>
      </c>
      <c r="AS408">
        <v>281</v>
      </c>
      <c r="AT408" s="4">
        <v>42768</v>
      </c>
      <c r="AU408" t="s">
        <v>73</v>
      </c>
      <c r="AV408">
        <v>281</v>
      </c>
      <c r="AW408" s="4">
        <v>42768</v>
      </c>
      <c r="BD408">
        <v>0</v>
      </c>
      <c r="BN408" t="s">
        <v>74</v>
      </c>
    </row>
    <row r="409" spans="1:66">
      <c r="A409">
        <v>100539</v>
      </c>
      <c r="B409" t="s">
        <v>153</v>
      </c>
      <c r="C409" s="1">
        <v>43300101</v>
      </c>
      <c r="D409" t="s">
        <v>67</v>
      </c>
      <c r="H409" t="str">
        <f>"80008110621"</f>
        <v>80008110621</v>
      </c>
      <c r="I409" t="str">
        <f>"01112560626"</f>
        <v>01112560626</v>
      </c>
      <c r="K409" t="str">
        <f>""</f>
        <v/>
      </c>
      <c r="M409" t="s">
        <v>68</v>
      </c>
      <c r="N409" t="str">
        <f t="shared" si="51"/>
        <v>FOR</v>
      </c>
      <c r="O409" t="s">
        <v>69</v>
      </c>
      <c r="P409" t="s">
        <v>75</v>
      </c>
      <c r="Q409">
        <v>2016</v>
      </c>
      <c r="R409" s="4">
        <v>42531</v>
      </c>
      <c r="S409" s="2">
        <v>42534</v>
      </c>
      <c r="T409" s="2">
        <v>42531</v>
      </c>
      <c r="U409" s="4">
        <v>42591</v>
      </c>
      <c r="V409" t="s">
        <v>71</v>
      </c>
      <c r="W409" t="str">
        <f>"                  65"</f>
        <v xml:space="preserve">                  65</v>
      </c>
      <c r="X409" s="1">
        <v>2269.1999999999998</v>
      </c>
      <c r="Y409">
        <v>0</v>
      </c>
      <c r="Z409" s="5">
        <v>1860</v>
      </c>
      <c r="AA409" s="3">
        <v>202</v>
      </c>
      <c r="AB409" s="5">
        <v>375720</v>
      </c>
      <c r="AC409" s="1">
        <v>1860</v>
      </c>
      <c r="AD409">
        <v>202</v>
      </c>
      <c r="AE409" s="1">
        <v>375720</v>
      </c>
      <c r="AF409">
        <v>0</v>
      </c>
      <c r="AJ409">
        <v>0</v>
      </c>
      <c r="AK409">
        <v>0</v>
      </c>
      <c r="AL409">
        <v>0</v>
      </c>
      <c r="AM409">
        <v>0</v>
      </c>
      <c r="AN409">
        <v>0</v>
      </c>
      <c r="AO409">
        <v>0</v>
      </c>
      <c r="AP409" s="2">
        <v>42831</v>
      </c>
      <c r="AQ409" t="s">
        <v>72</v>
      </c>
      <c r="AR409" t="s">
        <v>72</v>
      </c>
      <c r="AS409">
        <v>614</v>
      </c>
      <c r="AT409" s="4">
        <v>42793</v>
      </c>
      <c r="AU409" t="s">
        <v>73</v>
      </c>
      <c r="AV409">
        <v>614</v>
      </c>
      <c r="AW409" s="4">
        <v>42793</v>
      </c>
      <c r="BD409">
        <v>0</v>
      </c>
      <c r="BN409" t="s">
        <v>74</v>
      </c>
    </row>
    <row r="410" spans="1:66">
      <c r="A410">
        <v>100553</v>
      </c>
      <c r="B410" t="s">
        <v>154</v>
      </c>
      <c r="C410" s="1">
        <v>43300101</v>
      </c>
      <c r="D410" t="s">
        <v>67</v>
      </c>
      <c r="H410" t="str">
        <f>"97103880585"</f>
        <v>97103880585</v>
      </c>
      <c r="I410" t="str">
        <f>"01114601006"</f>
        <v>01114601006</v>
      </c>
      <c r="K410" t="str">
        <f>""</f>
        <v/>
      </c>
      <c r="M410" t="s">
        <v>68</v>
      </c>
      <c r="N410" t="str">
        <f t="shared" si="51"/>
        <v>FOR</v>
      </c>
      <c r="O410" t="s">
        <v>69</v>
      </c>
      <c r="P410" t="s">
        <v>75</v>
      </c>
      <c r="Q410">
        <v>2016</v>
      </c>
      <c r="R410" s="4">
        <v>42454</v>
      </c>
      <c r="S410" s="2">
        <v>42461</v>
      </c>
      <c r="T410" s="2">
        <v>42459</v>
      </c>
      <c r="U410" s="4">
        <v>42519</v>
      </c>
      <c r="V410" t="s">
        <v>71</v>
      </c>
      <c r="W410" t="str">
        <f>"          8716074358"</f>
        <v xml:space="preserve">          8716074358</v>
      </c>
      <c r="X410" s="1">
        <v>2416.5100000000002</v>
      </c>
      <c r="Y410">
        <v>0</v>
      </c>
      <c r="Z410" s="5">
        <v>2416.5100000000002</v>
      </c>
      <c r="AA410" s="3">
        <v>249</v>
      </c>
      <c r="AB410" s="5">
        <v>601710.99</v>
      </c>
      <c r="AC410" s="1">
        <v>2416.5100000000002</v>
      </c>
      <c r="AD410">
        <v>249</v>
      </c>
      <c r="AE410" s="1">
        <v>601710.99</v>
      </c>
      <c r="AF410">
        <v>0</v>
      </c>
      <c r="AJ410">
        <v>0</v>
      </c>
      <c r="AK410">
        <v>0</v>
      </c>
      <c r="AL410">
        <v>0</v>
      </c>
      <c r="AM410">
        <v>0</v>
      </c>
      <c r="AN410">
        <v>0</v>
      </c>
      <c r="AO410">
        <v>0</v>
      </c>
      <c r="AP410" s="2">
        <v>42831</v>
      </c>
      <c r="AQ410" t="s">
        <v>72</v>
      </c>
      <c r="AR410" t="s">
        <v>72</v>
      </c>
      <c r="AS410">
        <v>202</v>
      </c>
      <c r="AT410" s="4">
        <v>42768</v>
      </c>
      <c r="AU410" t="s">
        <v>73</v>
      </c>
      <c r="AV410">
        <v>202</v>
      </c>
      <c r="AW410" s="4">
        <v>42768</v>
      </c>
      <c r="BD410">
        <v>0</v>
      </c>
      <c r="BN410" t="s">
        <v>74</v>
      </c>
    </row>
    <row r="411" spans="1:66">
      <c r="A411">
        <v>100553</v>
      </c>
      <c r="B411" t="s">
        <v>154</v>
      </c>
      <c r="C411" s="1">
        <v>43300101</v>
      </c>
      <c r="D411" t="s">
        <v>67</v>
      </c>
      <c r="H411" t="str">
        <f>"97103880585"</f>
        <v>97103880585</v>
      </c>
      <c r="I411" t="str">
        <f>"01114601006"</f>
        <v>01114601006</v>
      </c>
      <c r="K411" t="str">
        <f>""</f>
        <v/>
      </c>
      <c r="M411" t="s">
        <v>68</v>
      </c>
      <c r="N411" t="str">
        <f t="shared" si="51"/>
        <v>FOR</v>
      </c>
      <c r="O411" t="s">
        <v>69</v>
      </c>
      <c r="P411" t="s">
        <v>75</v>
      </c>
      <c r="Q411">
        <v>2016</v>
      </c>
      <c r="R411" s="4">
        <v>42478</v>
      </c>
      <c r="S411" s="2">
        <v>42479</v>
      </c>
      <c r="T411" s="2">
        <v>42478</v>
      </c>
      <c r="U411" s="4">
        <v>42538</v>
      </c>
      <c r="V411" t="s">
        <v>71</v>
      </c>
      <c r="W411" t="str">
        <f>"          8716100157"</f>
        <v xml:space="preserve">          8716100157</v>
      </c>
      <c r="X411" s="1">
        <v>2032.38</v>
      </c>
      <c r="Y411">
        <v>0</v>
      </c>
      <c r="Z411" s="5">
        <v>2032.38</v>
      </c>
      <c r="AA411" s="3">
        <v>230</v>
      </c>
      <c r="AB411" s="5">
        <v>467447.4</v>
      </c>
      <c r="AC411" s="1">
        <v>2032.38</v>
      </c>
      <c r="AD411">
        <v>230</v>
      </c>
      <c r="AE411" s="1">
        <v>467447.4</v>
      </c>
      <c r="AF411">
        <v>0</v>
      </c>
      <c r="AJ411">
        <v>0</v>
      </c>
      <c r="AK411">
        <v>0</v>
      </c>
      <c r="AL411">
        <v>0</v>
      </c>
      <c r="AM411">
        <v>0</v>
      </c>
      <c r="AN411">
        <v>0</v>
      </c>
      <c r="AO411">
        <v>0</v>
      </c>
      <c r="AP411" s="2">
        <v>42831</v>
      </c>
      <c r="AQ411" t="s">
        <v>72</v>
      </c>
      <c r="AR411" t="s">
        <v>72</v>
      </c>
      <c r="AS411">
        <v>202</v>
      </c>
      <c r="AT411" s="4">
        <v>42768</v>
      </c>
      <c r="AU411" t="s">
        <v>73</v>
      </c>
      <c r="AV411">
        <v>202</v>
      </c>
      <c r="AW411" s="4">
        <v>42768</v>
      </c>
      <c r="BD411">
        <v>0</v>
      </c>
      <c r="BN411" t="s">
        <v>74</v>
      </c>
    </row>
    <row r="412" spans="1:66">
      <c r="A412">
        <v>100553</v>
      </c>
      <c r="B412" t="s">
        <v>154</v>
      </c>
      <c r="C412" s="1">
        <v>43300101</v>
      </c>
      <c r="D412" t="s">
        <v>67</v>
      </c>
      <c r="H412" t="str">
        <f>"97103880585"</f>
        <v>97103880585</v>
      </c>
      <c r="I412" t="str">
        <f>"01114601006"</f>
        <v>01114601006</v>
      </c>
      <c r="K412" t="str">
        <f>""</f>
        <v/>
      </c>
      <c r="M412" t="s">
        <v>68</v>
      </c>
      <c r="N412" t="str">
        <f t="shared" si="51"/>
        <v>FOR</v>
      </c>
      <c r="O412" t="s">
        <v>69</v>
      </c>
      <c r="P412" t="s">
        <v>75</v>
      </c>
      <c r="Q412">
        <v>2016</v>
      </c>
      <c r="R412" s="4">
        <v>42529</v>
      </c>
      <c r="S412" s="2">
        <v>42530</v>
      </c>
      <c r="T412" s="2">
        <v>42529</v>
      </c>
      <c r="U412" s="4">
        <v>42589</v>
      </c>
      <c r="V412" t="s">
        <v>71</v>
      </c>
      <c r="W412" t="str">
        <f>"          8716146482"</f>
        <v xml:space="preserve">          8716146482</v>
      </c>
      <c r="X412" s="1">
        <v>3202.8</v>
      </c>
      <c r="Y412">
        <v>0</v>
      </c>
      <c r="Z412" s="5">
        <v>3202.8</v>
      </c>
      <c r="AA412" s="3">
        <v>179</v>
      </c>
      <c r="AB412" s="5">
        <v>573301.19999999995</v>
      </c>
      <c r="AC412" s="1">
        <v>3202.8</v>
      </c>
      <c r="AD412">
        <v>179</v>
      </c>
      <c r="AE412" s="1">
        <v>573301.19999999995</v>
      </c>
      <c r="AF412">
        <v>0</v>
      </c>
      <c r="AJ412">
        <v>0</v>
      </c>
      <c r="AK412">
        <v>0</v>
      </c>
      <c r="AL412">
        <v>0</v>
      </c>
      <c r="AM412">
        <v>0</v>
      </c>
      <c r="AN412">
        <v>0</v>
      </c>
      <c r="AO412">
        <v>0</v>
      </c>
      <c r="AP412" s="2">
        <v>42831</v>
      </c>
      <c r="AQ412" t="s">
        <v>72</v>
      </c>
      <c r="AR412" t="s">
        <v>72</v>
      </c>
      <c r="AS412">
        <v>202</v>
      </c>
      <c r="AT412" s="4">
        <v>42768</v>
      </c>
      <c r="AU412" t="s">
        <v>73</v>
      </c>
      <c r="AV412">
        <v>202</v>
      </c>
      <c r="AW412" s="4">
        <v>42768</v>
      </c>
      <c r="BD412">
        <v>0</v>
      </c>
      <c r="BN412" t="s">
        <v>74</v>
      </c>
    </row>
    <row r="413" spans="1:66">
      <c r="A413">
        <v>100553</v>
      </c>
      <c r="B413" t="s">
        <v>154</v>
      </c>
      <c r="C413" s="1">
        <v>43300101</v>
      </c>
      <c r="D413" t="s">
        <v>67</v>
      </c>
      <c r="H413" t="str">
        <f>"97103880585"</f>
        <v>97103880585</v>
      </c>
      <c r="I413" t="str">
        <f>"01114601006"</f>
        <v>01114601006</v>
      </c>
      <c r="K413" t="str">
        <f>""</f>
        <v/>
      </c>
      <c r="M413" t="s">
        <v>68</v>
      </c>
      <c r="N413" t="str">
        <f t="shared" si="51"/>
        <v>FOR</v>
      </c>
      <c r="O413" t="s">
        <v>69</v>
      </c>
      <c r="P413" t="s">
        <v>75</v>
      </c>
      <c r="Q413">
        <v>2016</v>
      </c>
      <c r="R413" s="4">
        <v>42531</v>
      </c>
      <c r="S413" s="2">
        <v>42534</v>
      </c>
      <c r="T413" s="2">
        <v>42531</v>
      </c>
      <c r="U413" s="4">
        <v>42591</v>
      </c>
      <c r="V413" t="s">
        <v>71</v>
      </c>
      <c r="W413" t="str">
        <f>"          8716156721"</f>
        <v xml:space="preserve">          8716156721</v>
      </c>
      <c r="X413" s="1">
        <v>1947.71</v>
      </c>
      <c r="Y413">
        <v>0</v>
      </c>
      <c r="Z413" s="5">
        <v>1947.71</v>
      </c>
      <c r="AA413" s="3">
        <v>177</v>
      </c>
      <c r="AB413" s="5">
        <v>344744.67</v>
      </c>
      <c r="AC413" s="1">
        <v>1947.71</v>
      </c>
      <c r="AD413">
        <v>177</v>
      </c>
      <c r="AE413" s="1">
        <v>344744.67</v>
      </c>
      <c r="AF413">
        <v>0</v>
      </c>
      <c r="AJ413">
        <v>0</v>
      </c>
      <c r="AK413">
        <v>0</v>
      </c>
      <c r="AL413">
        <v>0</v>
      </c>
      <c r="AM413">
        <v>0</v>
      </c>
      <c r="AN413">
        <v>0</v>
      </c>
      <c r="AO413">
        <v>0</v>
      </c>
      <c r="AP413" s="2">
        <v>42831</v>
      </c>
      <c r="AQ413" t="s">
        <v>72</v>
      </c>
      <c r="AR413" t="s">
        <v>72</v>
      </c>
      <c r="AS413">
        <v>202</v>
      </c>
      <c r="AT413" s="4">
        <v>42768</v>
      </c>
      <c r="AU413" t="s">
        <v>73</v>
      </c>
      <c r="AV413">
        <v>202</v>
      </c>
      <c r="AW413" s="4">
        <v>42768</v>
      </c>
      <c r="BD413">
        <v>0</v>
      </c>
      <c r="BN413" t="s">
        <v>74</v>
      </c>
    </row>
    <row r="414" spans="1:66">
      <c r="A414">
        <v>100553</v>
      </c>
      <c r="B414" t="s">
        <v>154</v>
      </c>
      <c r="C414" s="1">
        <v>43300101</v>
      </c>
      <c r="D414" t="s">
        <v>67</v>
      </c>
      <c r="H414" t="str">
        <f>"97103880585"</f>
        <v>97103880585</v>
      </c>
      <c r="I414" t="str">
        <f>"01114601006"</f>
        <v>01114601006</v>
      </c>
      <c r="K414" t="str">
        <f>""</f>
        <v/>
      </c>
      <c r="M414" t="s">
        <v>68</v>
      </c>
      <c r="N414" t="str">
        <f t="shared" si="51"/>
        <v>FOR</v>
      </c>
      <c r="O414" t="s">
        <v>69</v>
      </c>
      <c r="P414" t="s">
        <v>75</v>
      </c>
      <c r="Q414">
        <v>2016</v>
      </c>
      <c r="R414" s="4">
        <v>42563</v>
      </c>
      <c r="S414" s="2">
        <v>42565</v>
      </c>
      <c r="T414" s="2">
        <v>42563</v>
      </c>
      <c r="U414" s="4">
        <v>42623</v>
      </c>
      <c r="V414" t="s">
        <v>71</v>
      </c>
      <c r="W414" t="str">
        <f>"          8716190180"</f>
        <v xml:space="preserve">          8716190180</v>
      </c>
      <c r="X414" s="1">
        <v>2331.9899999999998</v>
      </c>
      <c r="Y414">
        <v>0</v>
      </c>
      <c r="Z414" s="5">
        <v>2331.9899999999998</v>
      </c>
      <c r="AA414" s="3">
        <v>151</v>
      </c>
      <c r="AB414" s="5">
        <v>352130.49</v>
      </c>
      <c r="AC414" s="1">
        <v>2331.9899999999998</v>
      </c>
      <c r="AD414">
        <v>151</v>
      </c>
      <c r="AE414" s="1">
        <v>352130.49</v>
      </c>
      <c r="AF414">
        <v>0</v>
      </c>
      <c r="AJ414">
        <v>0</v>
      </c>
      <c r="AK414">
        <v>0</v>
      </c>
      <c r="AL414">
        <v>0</v>
      </c>
      <c r="AM414">
        <v>0</v>
      </c>
      <c r="AN414">
        <v>0</v>
      </c>
      <c r="AO414">
        <v>0</v>
      </c>
      <c r="AP414" s="2">
        <v>42831</v>
      </c>
      <c r="AQ414" t="s">
        <v>72</v>
      </c>
      <c r="AR414" t="s">
        <v>72</v>
      </c>
      <c r="AS414">
        <v>331</v>
      </c>
      <c r="AT414" s="4">
        <v>42774</v>
      </c>
      <c r="AU414" t="s">
        <v>73</v>
      </c>
      <c r="AV414">
        <v>331</v>
      </c>
      <c r="AW414" s="4">
        <v>42774</v>
      </c>
      <c r="BD414">
        <v>0</v>
      </c>
      <c r="BN414" t="s">
        <v>74</v>
      </c>
    </row>
    <row r="415" spans="1:66">
      <c r="A415">
        <v>100558</v>
      </c>
      <c r="B415" t="s">
        <v>155</v>
      </c>
      <c r="C415" s="1">
        <v>43300101</v>
      </c>
      <c r="D415" t="s">
        <v>67</v>
      </c>
      <c r="H415" t="str">
        <f>""</f>
        <v/>
      </c>
      <c r="I415" t="str">
        <f>"00723460630"</f>
        <v>00723460630</v>
      </c>
      <c r="K415" t="str">
        <f>""</f>
        <v/>
      </c>
      <c r="M415" t="s">
        <v>68</v>
      </c>
      <c r="N415" t="str">
        <f t="shared" si="51"/>
        <v>FOR</v>
      </c>
      <c r="O415" t="s">
        <v>69</v>
      </c>
      <c r="P415" t="s">
        <v>75</v>
      </c>
      <c r="Q415">
        <v>2016</v>
      </c>
      <c r="R415" s="4">
        <v>42569</v>
      </c>
      <c r="S415" s="2">
        <v>42613</v>
      </c>
      <c r="T415" s="2">
        <v>42612</v>
      </c>
      <c r="U415" s="4">
        <v>42672</v>
      </c>
      <c r="V415" t="s">
        <v>71</v>
      </c>
      <c r="W415" t="str">
        <f>"          001001-0C3"</f>
        <v xml:space="preserve">          001001-0C3</v>
      </c>
      <c r="X415" s="1">
        <v>5852.34</v>
      </c>
      <c r="Y415">
        <v>0</v>
      </c>
      <c r="Z415" s="5">
        <v>4797</v>
      </c>
      <c r="AA415" s="3">
        <v>109</v>
      </c>
      <c r="AB415" s="5">
        <v>522873</v>
      </c>
      <c r="AC415" s="1">
        <v>4797</v>
      </c>
      <c r="AD415">
        <v>109</v>
      </c>
      <c r="AE415" s="1">
        <v>522873</v>
      </c>
      <c r="AF415">
        <v>0</v>
      </c>
      <c r="AJ415">
        <v>0</v>
      </c>
      <c r="AK415">
        <v>0</v>
      </c>
      <c r="AL415">
        <v>0</v>
      </c>
      <c r="AM415">
        <v>0</v>
      </c>
      <c r="AN415">
        <v>0</v>
      </c>
      <c r="AO415">
        <v>0</v>
      </c>
      <c r="AP415" s="2">
        <v>42831</v>
      </c>
      <c r="AQ415" t="s">
        <v>72</v>
      </c>
      <c r="AR415" t="s">
        <v>72</v>
      </c>
      <c r="AS415">
        <v>444</v>
      </c>
      <c r="AT415" s="4">
        <v>42781</v>
      </c>
      <c r="AU415" t="s">
        <v>73</v>
      </c>
      <c r="AV415">
        <v>444</v>
      </c>
      <c r="AW415" s="4">
        <v>42781</v>
      </c>
      <c r="BD415">
        <v>0</v>
      </c>
      <c r="BN415" t="s">
        <v>74</v>
      </c>
    </row>
    <row r="416" spans="1:66">
      <c r="A416">
        <v>100558</v>
      </c>
      <c r="B416" t="s">
        <v>155</v>
      </c>
      <c r="C416" s="1">
        <v>43300101</v>
      </c>
      <c r="D416" t="s">
        <v>67</v>
      </c>
      <c r="H416" t="str">
        <f>""</f>
        <v/>
      </c>
      <c r="I416" t="str">
        <f>"00723460630"</f>
        <v>00723460630</v>
      </c>
      <c r="K416" t="str">
        <f>""</f>
        <v/>
      </c>
      <c r="M416" t="s">
        <v>68</v>
      </c>
      <c r="N416" t="str">
        <f t="shared" si="51"/>
        <v>FOR</v>
      </c>
      <c r="O416" t="s">
        <v>69</v>
      </c>
      <c r="P416" t="s">
        <v>75</v>
      </c>
      <c r="Q416">
        <v>2016</v>
      </c>
      <c r="R416" s="4">
        <v>42724</v>
      </c>
      <c r="S416" s="2">
        <v>42747</v>
      </c>
      <c r="T416" s="2">
        <v>42745</v>
      </c>
      <c r="U416" s="4">
        <v>42805</v>
      </c>
      <c r="V416" t="s">
        <v>71</v>
      </c>
      <c r="W416" t="str">
        <f>"          001782-0C3"</f>
        <v xml:space="preserve">          001782-0C3</v>
      </c>
      <c r="X416" s="1">
        <v>2283.84</v>
      </c>
      <c r="Y416">
        <v>0</v>
      </c>
      <c r="Z416" s="5">
        <v>1872</v>
      </c>
      <c r="AA416" s="3">
        <v>-24</v>
      </c>
      <c r="AB416" s="5">
        <v>-44928</v>
      </c>
      <c r="AC416" s="1">
        <v>1872</v>
      </c>
      <c r="AD416">
        <v>-24</v>
      </c>
      <c r="AE416" s="1">
        <v>-44928</v>
      </c>
      <c r="AF416">
        <v>0</v>
      </c>
      <c r="AJ416">
        <v>0</v>
      </c>
      <c r="AK416" s="1">
        <v>2283.84</v>
      </c>
      <c r="AL416">
        <v>0</v>
      </c>
      <c r="AM416">
        <v>0</v>
      </c>
      <c r="AN416" s="1">
        <v>2283.84</v>
      </c>
      <c r="AO416">
        <v>0</v>
      </c>
      <c r="AP416" s="2">
        <v>42831</v>
      </c>
      <c r="AQ416" t="s">
        <v>72</v>
      </c>
      <c r="AR416" t="s">
        <v>72</v>
      </c>
      <c r="AS416">
        <v>444</v>
      </c>
      <c r="AT416" s="4">
        <v>42781</v>
      </c>
      <c r="AV416">
        <v>444</v>
      </c>
      <c r="AW416" s="4">
        <v>42781</v>
      </c>
      <c r="BD416">
        <v>0</v>
      </c>
      <c r="BN416" t="s">
        <v>74</v>
      </c>
    </row>
    <row r="417" spans="1:66">
      <c r="A417">
        <v>100565</v>
      </c>
      <c r="B417" t="s">
        <v>156</v>
      </c>
      <c r="C417" s="1">
        <v>43300101</v>
      </c>
      <c r="D417" t="s">
        <v>67</v>
      </c>
      <c r="H417" t="str">
        <f t="shared" ref="H417:I422" si="52">"00747170157"</f>
        <v>00747170157</v>
      </c>
      <c r="I417" t="str">
        <f t="shared" si="52"/>
        <v>00747170157</v>
      </c>
      <c r="K417" t="str">
        <f>""</f>
        <v/>
      </c>
      <c r="M417" t="s">
        <v>68</v>
      </c>
      <c r="N417" t="str">
        <f t="shared" si="51"/>
        <v>FOR</v>
      </c>
      <c r="O417" t="s">
        <v>69</v>
      </c>
      <c r="P417" t="s">
        <v>75</v>
      </c>
      <c r="Q417">
        <v>2016</v>
      </c>
      <c r="R417" s="4">
        <v>42437</v>
      </c>
      <c r="S417" s="2">
        <v>42438</v>
      </c>
      <c r="T417" s="2">
        <v>42438</v>
      </c>
      <c r="U417" s="4">
        <v>42498</v>
      </c>
      <c r="V417" t="s">
        <v>71</v>
      </c>
      <c r="W417" t="str">
        <f>"          6746312225"</f>
        <v xml:space="preserve">          6746312225</v>
      </c>
      <c r="X417" s="1">
        <v>7346.35</v>
      </c>
      <c r="Y417">
        <v>0</v>
      </c>
      <c r="Z417" s="5">
        <v>6678.5</v>
      </c>
      <c r="AA417" s="3">
        <v>276</v>
      </c>
      <c r="AB417" s="5">
        <v>1843266</v>
      </c>
      <c r="AC417" s="1">
        <v>6678.5</v>
      </c>
      <c r="AD417">
        <v>276</v>
      </c>
      <c r="AE417" s="1">
        <v>1843266</v>
      </c>
      <c r="AF417">
        <v>0</v>
      </c>
      <c r="AJ417">
        <v>0</v>
      </c>
      <c r="AK417">
        <v>0</v>
      </c>
      <c r="AL417">
        <v>0</v>
      </c>
      <c r="AM417">
        <v>0</v>
      </c>
      <c r="AN417">
        <v>0</v>
      </c>
      <c r="AO417">
        <v>0</v>
      </c>
      <c r="AP417" s="2">
        <v>42831</v>
      </c>
      <c r="AQ417" t="s">
        <v>72</v>
      </c>
      <c r="AR417" t="s">
        <v>72</v>
      </c>
      <c r="AS417">
        <v>352</v>
      </c>
      <c r="AT417" s="4">
        <v>42774</v>
      </c>
      <c r="AU417" t="s">
        <v>73</v>
      </c>
      <c r="AV417">
        <v>352</v>
      </c>
      <c r="AW417" s="4">
        <v>42774</v>
      </c>
      <c r="BD417">
        <v>0</v>
      </c>
      <c r="BN417" t="s">
        <v>74</v>
      </c>
    </row>
    <row r="418" spans="1:66">
      <c r="A418">
        <v>100565</v>
      </c>
      <c r="B418" t="s">
        <v>156</v>
      </c>
      <c r="C418" s="1">
        <v>43300101</v>
      </c>
      <c r="D418" t="s">
        <v>67</v>
      </c>
      <c r="H418" t="str">
        <f t="shared" si="52"/>
        <v>00747170157</v>
      </c>
      <c r="I418" t="str">
        <f t="shared" si="52"/>
        <v>00747170157</v>
      </c>
      <c r="K418" t="str">
        <f>""</f>
        <v/>
      </c>
      <c r="M418" t="s">
        <v>68</v>
      </c>
      <c r="N418" t="str">
        <f t="shared" si="51"/>
        <v>FOR</v>
      </c>
      <c r="O418" t="s">
        <v>69</v>
      </c>
      <c r="P418" t="s">
        <v>75</v>
      </c>
      <c r="Q418">
        <v>2016</v>
      </c>
      <c r="R418" s="4">
        <v>42460</v>
      </c>
      <c r="S418" s="2">
        <v>42464</v>
      </c>
      <c r="T418" s="2">
        <v>42461</v>
      </c>
      <c r="U418" s="4">
        <v>42521</v>
      </c>
      <c r="V418" t="s">
        <v>71</v>
      </c>
      <c r="W418" t="str">
        <f>"          6746315861"</f>
        <v xml:space="preserve">          6746315861</v>
      </c>
      <c r="X418" s="1">
        <v>26131.82</v>
      </c>
      <c r="Y418">
        <v>0</v>
      </c>
      <c r="Z418" s="5">
        <v>23756.2</v>
      </c>
      <c r="AA418" s="3">
        <v>253</v>
      </c>
      <c r="AB418" s="5">
        <v>6010318.5999999996</v>
      </c>
      <c r="AC418" s="1">
        <v>23756.2</v>
      </c>
      <c r="AD418">
        <v>253</v>
      </c>
      <c r="AE418" s="1">
        <v>6010318.5999999996</v>
      </c>
      <c r="AF418">
        <v>0</v>
      </c>
      <c r="AJ418">
        <v>0</v>
      </c>
      <c r="AK418">
        <v>0</v>
      </c>
      <c r="AL418">
        <v>0</v>
      </c>
      <c r="AM418">
        <v>0</v>
      </c>
      <c r="AN418">
        <v>0</v>
      </c>
      <c r="AO418">
        <v>0</v>
      </c>
      <c r="AP418" s="2">
        <v>42831</v>
      </c>
      <c r="AQ418" t="s">
        <v>72</v>
      </c>
      <c r="AR418" t="s">
        <v>72</v>
      </c>
      <c r="AS418">
        <v>352</v>
      </c>
      <c r="AT418" s="4">
        <v>42774</v>
      </c>
      <c r="AU418" t="s">
        <v>73</v>
      </c>
      <c r="AV418">
        <v>352</v>
      </c>
      <c r="AW418" s="4">
        <v>42774</v>
      </c>
      <c r="BD418">
        <v>0</v>
      </c>
      <c r="BN418" t="s">
        <v>74</v>
      </c>
    </row>
    <row r="419" spans="1:66">
      <c r="A419">
        <v>100565</v>
      </c>
      <c r="B419" t="s">
        <v>156</v>
      </c>
      <c r="C419" s="1">
        <v>43300101</v>
      </c>
      <c r="D419" t="s">
        <v>67</v>
      </c>
      <c r="H419" t="str">
        <f t="shared" si="52"/>
        <v>00747170157</v>
      </c>
      <c r="I419" t="str">
        <f t="shared" si="52"/>
        <v>00747170157</v>
      </c>
      <c r="K419" t="str">
        <f>""</f>
        <v/>
      </c>
      <c r="M419" t="s">
        <v>68</v>
      </c>
      <c r="N419" t="str">
        <f t="shared" si="51"/>
        <v>FOR</v>
      </c>
      <c r="O419" t="s">
        <v>69</v>
      </c>
      <c r="P419" t="s">
        <v>75</v>
      </c>
      <c r="Q419">
        <v>2016</v>
      </c>
      <c r="R419" s="4">
        <v>42464</v>
      </c>
      <c r="S419" s="2">
        <v>42473</v>
      </c>
      <c r="T419" s="2">
        <v>42465</v>
      </c>
      <c r="U419" s="4">
        <v>42525</v>
      </c>
      <c r="V419" t="s">
        <v>71</v>
      </c>
      <c r="W419" t="str">
        <f>"          6746316526"</f>
        <v xml:space="preserve">          6746316526</v>
      </c>
      <c r="X419" s="1">
        <v>7346.35</v>
      </c>
      <c r="Y419">
        <v>0</v>
      </c>
      <c r="Z419" s="5">
        <v>6678.5</v>
      </c>
      <c r="AA419" s="3">
        <v>257</v>
      </c>
      <c r="AB419" s="5">
        <v>1716374.5</v>
      </c>
      <c r="AC419" s="1">
        <v>6678.5</v>
      </c>
      <c r="AD419">
        <v>257</v>
      </c>
      <c r="AE419" s="1">
        <v>1716374.5</v>
      </c>
      <c r="AF419">
        <v>0</v>
      </c>
      <c r="AJ419">
        <v>0</v>
      </c>
      <c r="AK419">
        <v>0</v>
      </c>
      <c r="AL419">
        <v>0</v>
      </c>
      <c r="AM419">
        <v>0</v>
      </c>
      <c r="AN419">
        <v>0</v>
      </c>
      <c r="AO419">
        <v>0</v>
      </c>
      <c r="AP419" s="2">
        <v>42831</v>
      </c>
      <c r="AQ419" t="s">
        <v>72</v>
      </c>
      <c r="AR419" t="s">
        <v>72</v>
      </c>
      <c r="AS419">
        <v>471</v>
      </c>
      <c r="AT419" s="4">
        <v>42782</v>
      </c>
      <c r="AU419" t="s">
        <v>73</v>
      </c>
      <c r="AV419">
        <v>471</v>
      </c>
      <c r="AW419" s="4">
        <v>42782</v>
      </c>
      <c r="BD419">
        <v>0</v>
      </c>
      <c r="BN419" t="s">
        <v>74</v>
      </c>
    </row>
    <row r="420" spans="1:66">
      <c r="A420">
        <v>100565</v>
      </c>
      <c r="B420" t="s">
        <v>156</v>
      </c>
      <c r="C420" s="1">
        <v>43300101</v>
      </c>
      <c r="D420" t="s">
        <v>67</v>
      </c>
      <c r="H420" t="str">
        <f t="shared" si="52"/>
        <v>00747170157</v>
      </c>
      <c r="I420" t="str">
        <f t="shared" si="52"/>
        <v>00747170157</v>
      </c>
      <c r="K420" t="str">
        <f>""</f>
        <v/>
      </c>
      <c r="M420" t="s">
        <v>68</v>
      </c>
      <c r="N420" t="str">
        <f t="shared" si="51"/>
        <v>FOR</v>
      </c>
      <c r="O420" t="s">
        <v>69</v>
      </c>
      <c r="P420" t="s">
        <v>75</v>
      </c>
      <c r="Q420">
        <v>2016</v>
      </c>
      <c r="R420" s="4">
        <v>42487</v>
      </c>
      <c r="S420" s="2">
        <v>42492</v>
      </c>
      <c r="T420" s="2">
        <v>42488</v>
      </c>
      <c r="U420" s="4">
        <v>42548</v>
      </c>
      <c r="V420" t="s">
        <v>71</v>
      </c>
      <c r="W420" t="str">
        <f>"          6746320757"</f>
        <v xml:space="preserve">          6746320757</v>
      </c>
      <c r="X420" s="1">
        <v>7346.35</v>
      </c>
      <c r="Y420">
        <v>0</v>
      </c>
      <c r="Z420" s="5">
        <v>6678.5</v>
      </c>
      <c r="AA420" s="3">
        <v>234</v>
      </c>
      <c r="AB420" s="5">
        <v>1562769</v>
      </c>
      <c r="AC420" s="1">
        <v>6678.5</v>
      </c>
      <c r="AD420">
        <v>234</v>
      </c>
      <c r="AE420" s="1">
        <v>1562769</v>
      </c>
      <c r="AF420">
        <v>0</v>
      </c>
      <c r="AJ420">
        <v>0</v>
      </c>
      <c r="AK420">
        <v>0</v>
      </c>
      <c r="AL420">
        <v>0</v>
      </c>
      <c r="AM420">
        <v>0</v>
      </c>
      <c r="AN420">
        <v>0</v>
      </c>
      <c r="AO420">
        <v>0</v>
      </c>
      <c r="AP420" s="2">
        <v>42831</v>
      </c>
      <c r="AQ420" t="s">
        <v>72</v>
      </c>
      <c r="AR420" t="s">
        <v>72</v>
      </c>
      <c r="AS420">
        <v>471</v>
      </c>
      <c r="AT420" s="4">
        <v>42782</v>
      </c>
      <c r="AU420" t="s">
        <v>73</v>
      </c>
      <c r="AV420">
        <v>471</v>
      </c>
      <c r="AW420" s="4">
        <v>42782</v>
      </c>
      <c r="BD420">
        <v>0</v>
      </c>
      <c r="BN420" t="s">
        <v>74</v>
      </c>
    </row>
    <row r="421" spans="1:66">
      <c r="A421">
        <v>100565</v>
      </c>
      <c r="B421" t="s">
        <v>156</v>
      </c>
      <c r="C421" s="1">
        <v>43300101</v>
      </c>
      <c r="D421" t="s">
        <v>67</v>
      </c>
      <c r="H421" t="str">
        <f t="shared" si="52"/>
        <v>00747170157</v>
      </c>
      <c r="I421" t="str">
        <f t="shared" si="52"/>
        <v>00747170157</v>
      </c>
      <c r="K421" t="str">
        <f>""</f>
        <v/>
      </c>
      <c r="M421" t="s">
        <v>68</v>
      </c>
      <c r="N421" t="str">
        <f t="shared" si="51"/>
        <v>FOR</v>
      </c>
      <c r="O421" t="s">
        <v>69</v>
      </c>
      <c r="P421" t="s">
        <v>75</v>
      </c>
      <c r="Q421">
        <v>2016</v>
      </c>
      <c r="R421" s="4">
        <v>42508</v>
      </c>
      <c r="S421" s="2">
        <v>42514</v>
      </c>
      <c r="T421" s="2">
        <v>42509</v>
      </c>
      <c r="U421" s="4">
        <v>42569</v>
      </c>
      <c r="V421" t="s">
        <v>71</v>
      </c>
      <c r="W421" t="str">
        <f>"          6746324600"</f>
        <v xml:space="preserve">          6746324600</v>
      </c>
      <c r="X421" s="1">
        <v>7346.35</v>
      </c>
      <c r="Y421">
        <v>0</v>
      </c>
      <c r="Z421" s="5">
        <v>6678.5</v>
      </c>
      <c r="AA421" s="3">
        <v>228</v>
      </c>
      <c r="AB421" s="5">
        <v>1522698</v>
      </c>
      <c r="AC421" s="1">
        <v>6678.5</v>
      </c>
      <c r="AD421">
        <v>228</v>
      </c>
      <c r="AE421" s="1">
        <v>1522698</v>
      </c>
      <c r="AF421">
        <v>667.85</v>
      </c>
      <c r="AJ421">
        <v>0</v>
      </c>
      <c r="AK421">
        <v>0</v>
      </c>
      <c r="AL421">
        <v>0</v>
      </c>
      <c r="AM421">
        <v>0</v>
      </c>
      <c r="AN421">
        <v>0</v>
      </c>
      <c r="AO421">
        <v>0</v>
      </c>
      <c r="AP421" s="2">
        <v>42831</v>
      </c>
      <c r="AQ421" t="s">
        <v>72</v>
      </c>
      <c r="AR421" t="s">
        <v>72</v>
      </c>
      <c r="AS421">
        <v>713</v>
      </c>
      <c r="AT421" s="4">
        <v>42797</v>
      </c>
      <c r="AU421" t="s">
        <v>73</v>
      </c>
      <c r="AV421">
        <v>713</v>
      </c>
      <c r="AW421" s="4">
        <v>42797</v>
      </c>
      <c r="BD421">
        <v>667.85</v>
      </c>
      <c r="BN421" t="s">
        <v>74</v>
      </c>
    </row>
    <row r="422" spans="1:66">
      <c r="A422">
        <v>100565</v>
      </c>
      <c r="B422" t="s">
        <v>156</v>
      </c>
      <c r="C422" s="1">
        <v>43300101</v>
      </c>
      <c r="D422" t="s">
        <v>67</v>
      </c>
      <c r="H422" t="str">
        <f t="shared" si="52"/>
        <v>00747170157</v>
      </c>
      <c r="I422" t="str">
        <f t="shared" si="52"/>
        <v>00747170157</v>
      </c>
      <c r="K422" t="str">
        <f>""</f>
        <v/>
      </c>
      <c r="M422" t="s">
        <v>68</v>
      </c>
      <c r="N422" t="str">
        <f t="shared" si="51"/>
        <v>FOR</v>
      </c>
      <c r="O422" t="s">
        <v>69</v>
      </c>
      <c r="P422" t="s">
        <v>75</v>
      </c>
      <c r="Q422">
        <v>2016</v>
      </c>
      <c r="R422" s="4">
        <v>42517</v>
      </c>
      <c r="S422" s="2">
        <v>42522</v>
      </c>
      <c r="T422" s="2">
        <v>42518</v>
      </c>
      <c r="U422" s="4">
        <v>42578</v>
      </c>
      <c r="V422" t="s">
        <v>71</v>
      </c>
      <c r="W422" t="str">
        <f>"          6746326542"</f>
        <v xml:space="preserve">          6746326542</v>
      </c>
      <c r="X422" s="1">
        <v>7346.35</v>
      </c>
      <c r="Y422">
        <v>0</v>
      </c>
      <c r="Z422" s="5">
        <v>6678.5</v>
      </c>
      <c r="AA422" s="3">
        <v>219</v>
      </c>
      <c r="AB422" s="5">
        <v>1462591.5</v>
      </c>
      <c r="AC422" s="1">
        <v>6678.5</v>
      </c>
      <c r="AD422">
        <v>219</v>
      </c>
      <c r="AE422" s="1">
        <v>1462591.5</v>
      </c>
      <c r="AF422">
        <v>667.85</v>
      </c>
      <c r="AJ422">
        <v>0</v>
      </c>
      <c r="AK422">
        <v>0</v>
      </c>
      <c r="AL422">
        <v>0</v>
      </c>
      <c r="AM422">
        <v>0</v>
      </c>
      <c r="AN422">
        <v>0</v>
      </c>
      <c r="AO422">
        <v>0</v>
      </c>
      <c r="AP422" s="2">
        <v>42831</v>
      </c>
      <c r="AQ422" t="s">
        <v>72</v>
      </c>
      <c r="AR422" t="s">
        <v>72</v>
      </c>
      <c r="AS422">
        <v>713</v>
      </c>
      <c r="AT422" s="4">
        <v>42797</v>
      </c>
      <c r="AU422" t="s">
        <v>73</v>
      </c>
      <c r="AV422">
        <v>713</v>
      </c>
      <c r="AW422" s="4">
        <v>42797</v>
      </c>
      <c r="BD422">
        <v>667.85</v>
      </c>
      <c r="BN422" t="s">
        <v>74</v>
      </c>
    </row>
    <row r="423" spans="1:66">
      <c r="A423">
        <v>100581</v>
      </c>
      <c r="B423" t="s">
        <v>157</v>
      </c>
      <c r="C423" s="1">
        <v>43300101</v>
      </c>
      <c r="D423" t="s">
        <v>67</v>
      </c>
      <c r="H423" t="str">
        <f t="shared" ref="H423:H440" si="53">"08326710582"</f>
        <v>08326710582</v>
      </c>
      <c r="I423" t="str">
        <f t="shared" ref="I423:I440" si="54">"02023671007"</f>
        <v>02023671007</v>
      </c>
      <c r="K423" t="str">
        <f>""</f>
        <v/>
      </c>
      <c r="M423" t="s">
        <v>68</v>
      </c>
      <c r="N423" t="str">
        <f t="shared" si="51"/>
        <v>FOR</v>
      </c>
      <c r="O423" t="s">
        <v>69</v>
      </c>
      <c r="P423" t="s">
        <v>70</v>
      </c>
      <c r="Q423">
        <v>2012</v>
      </c>
      <c r="R423" s="4">
        <v>41018</v>
      </c>
      <c r="S423" s="2">
        <v>42205</v>
      </c>
      <c r="T423" s="2">
        <v>42205</v>
      </c>
      <c r="U423" s="4">
        <v>42265</v>
      </c>
      <c r="V423" t="s">
        <v>71</v>
      </c>
      <c r="W423" t="str">
        <f>"              201885"</f>
        <v xml:space="preserve">              201885</v>
      </c>
      <c r="X423">
        <v>968</v>
      </c>
      <c r="Y423">
        <v>0</v>
      </c>
      <c r="Z423" s="5">
        <v>968</v>
      </c>
      <c r="AA423" s="3">
        <v>490</v>
      </c>
      <c r="AB423" s="5">
        <v>474320</v>
      </c>
      <c r="AC423">
        <v>968</v>
      </c>
      <c r="AD423">
        <v>490</v>
      </c>
      <c r="AE423" s="1">
        <v>474320</v>
      </c>
      <c r="AF423">
        <v>0</v>
      </c>
      <c r="AJ423">
        <v>0</v>
      </c>
      <c r="AK423">
        <v>0</v>
      </c>
      <c r="AL423">
        <v>0</v>
      </c>
      <c r="AM423">
        <v>0</v>
      </c>
      <c r="AN423">
        <v>0</v>
      </c>
      <c r="AO423">
        <v>0</v>
      </c>
      <c r="AP423" s="2">
        <v>42831</v>
      </c>
      <c r="AQ423" t="s">
        <v>72</v>
      </c>
      <c r="AR423" t="s">
        <v>72</v>
      </c>
      <c r="AS423">
        <v>17</v>
      </c>
      <c r="AT423" s="4">
        <v>42755</v>
      </c>
      <c r="AU423" t="s">
        <v>73</v>
      </c>
      <c r="AV423">
        <v>17</v>
      </c>
      <c r="AW423" s="4">
        <v>42755</v>
      </c>
      <c r="BD423">
        <v>0</v>
      </c>
      <c r="BN423" t="s">
        <v>74</v>
      </c>
    </row>
    <row r="424" spans="1:66">
      <c r="A424">
        <v>100581</v>
      </c>
      <c r="B424" t="s">
        <v>157</v>
      </c>
      <c r="C424" s="1">
        <v>43300101</v>
      </c>
      <c r="D424" t="s">
        <v>67</v>
      </c>
      <c r="H424" t="str">
        <f t="shared" si="53"/>
        <v>08326710582</v>
      </c>
      <c r="I424" t="str">
        <f t="shared" si="54"/>
        <v>02023671007</v>
      </c>
      <c r="K424" t="str">
        <f>""</f>
        <v/>
      </c>
      <c r="M424" t="s">
        <v>68</v>
      </c>
      <c r="N424" t="str">
        <f t="shared" si="51"/>
        <v>FOR</v>
      </c>
      <c r="O424" t="s">
        <v>69</v>
      </c>
      <c r="P424" t="s">
        <v>70</v>
      </c>
      <c r="Q424">
        <v>2012</v>
      </c>
      <c r="R424" s="4">
        <v>41018</v>
      </c>
      <c r="S424" s="2">
        <v>42205</v>
      </c>
      <c r="T424" s="2">
        <v>42205</v>
      </c>
      <c r="U424" s="4">
        <v>42265</v>
      </c>
      <c r="V424" t="s">
        <v>71</v>
      </c>
      <c r="W424" t="str">
        <f>"              201886"</f>
        <v xml:space="preserve">              201886</v>
      </c>
      <c r="X424">
        <v>464.64</v>
      </c>
      <c r="Y424">
        <v>0</v>
      </c>
      <c r="Z424" s="5">
        <v>464.64</v>
      </c>
      <c r="AA424" s="3">
        <v>490</v>
      </c>
      <c r="AB424" s="5">
        <v>227673.60000000001</v>
      </c>
      <c r="AC424">
        <v>464.64</v>
      </c>
      <c r="AD424">
        <v>490</v>
      </c>
      <c r="AE424" s="1">
        <v>227673.60000000001</v>
      </c>
      <c r="AF424">
        <v>0</v>
      </c>
      <c r="AJ424">
        <v>0</v>
      </c>
      <c r="AK424">
        <v>0</v>
      </c>
      <c r="AL424">
        <v>0</v>
      </c>
      <c r="AM424">
        <v>0</v>
      </c>
      <c r="AN424">
        <v>0</v>
      </c>
      <c r="AO424">
        <v>0</v>
      </c>
      <c r="AP424" s="2">
        <v>42831</v>
      </c>
      <c r="AQ424" t="s">
        <v>72</v>
      </c>
      <c r="AR424" t="s">
        <v>72</v>
      </c>
      <c r="AS424">
        <v>17</v>
      </c>
      <c r="AT424" s="4">
        <v>42755</v>
      </c>
      <c r="AU424" t="s">
        <v>73</v>
      </c>
      <c r="AV424">
        <v>17</v>
      </c>
      <c r="AW424" s="4">
        <v>42755</v>
      </c>
      <c r="BD424">
        <v>0</v>
      </c>
      <c r="BN424" t="s">
        <v>74</v>
      </c>
    </row>
    <row r="425" spans="1:66">
      <c r="A425">
        <v>100581</v>
      </c>
      <c r="B425" t="s">
        <v>157</v>
      </c>
      <c r="C425" s="1">
        <v>43300101</v>
      </c>
      <c r="D425" t="s">
        <v>67</v>
      </c>
      <c r="H425" t="str">
        <f t="shared" si="53"/>
        <v>08326710582</v>
      </c>
      <c r="I425" t="str">
        <f t="shared" si="54"/>
        <v>02023671007</v>
      </c>
      <c r="K425" t="str">
        <f>""</f>
        <v/>
      </c>
      <c r="M425" t="s">
        <v>68</v>
      </c>
      <c r="N425" t="str">
        <f t="shared" si="51"/>
        <v>FOR</v>
      </c>
      <c r="O425" t="s">
        <v>69</v>
      </c>
      <c r="P425" t="s">
        <v>158</v>
      </c>
      <c r="Q425">
        <v>2012</v>
      </c>
      <c r="R425" s="4">
        <v>41172</v>
      </c>
      <c r="S425" s="2">
        <v>41206</v>
      </c>
      <c r="T425" s="2">
        <v>41206</v>
      </c>
      <c r="U425" s="4">
        <v>41296</v>
      </c>
      <c r="V425" t="s">
        <v>71</v>
      </c>
      <c r="W425" t="str">
        <f>"              204173"</f>
        <v xml:space="preserve">              204173</v>
      </c>
      <c r="X425" s="1">
        <v>1234.2</v>
      </c>
      <c r="Y425">
        <v>0</v>
      </c>
      <c r="Z425" s="5">
        <v>1234.2</v>
      </c>
      <c r="AA425" s="3">
        <v>1459</v>
      </c>
      <c r="AB425" s="5">
        <v>1800697.8</v>
      </c>
      <c r="AC425" s="1">
        <v>1234.2</v>
      </c>
      <c r="AD425">
        <v>1459</v>
      </c>
      <c r="AE425" s="1">
        <v>1800697.8</v>
      </c>
      <c r="AF425">
        <v>0</v>
      </c>
      <c r="AJ425">
        <v>0</v>
      </c>
      <c r="AK425">
        <v>0</v>
      </c>
      <c r="AL425">
        <v>0</v>
      </c>
      <c r="AM425">
        <v>0</v>
      </c>
      <c r="AN425">
        <v>0</v>
      </c>
      <c r="AO425">
        <v>0</v>
      </c>
      <c r="AP425" s="2">
        <v>42831</v>
      </c>
      <c r="AQ425" t="s">
        <v>72</v>
      </c>
      <c r="AR425" t="s">
        <v>72</v>
      </c>
      <c r="AS425">
        <v>17</v>
      </c>
      <c r="AT425" s="4">
        <v>42755</v>
      </c>
      <c r="AU425" t="s">
        <v>73</v>
      </c>
      <c r="AV425">
        <v>17</v>
      </c>
      <c r="AW425" s="4">
        <v>42755</v>
      </c>
      <c r="BD425">
        <v>0</v>
      </c>
      <c r="BN425" t="s">
        <v>74</v>
      </c>
    </row>
    <row r="426" spans="1:66">
      <c r="A426">
        <v>100581</v>
      </c>
      <c r="B426" t="s">
        <v>157</v>
      </c>
      <c r="C426" s="1">
        <v>43300101</v>
      </c>
      <c r="D426" t="s">
        <v>67</v>
      </c>
      <c r="H426" t="str">
        <f t="shared" si="53"/>
        <v>08326710582</v>
      </c>
      <c r="I426" t="str">
        <f t="shared" si="54"/>
        <v>02023671007</v>
      </c>
      <c r="K426" t="str">
        <f>""</f>
        <v/>
      </c>
      <c r="M426" t="s">
        <v>68</v>
      </c>
      <c r="N426" t="str">
        <f t="shared" si="51"/>
        <v>FOR</v>
      </c>
      <c r="O426" t="s">
        <v>69</v>
      </c>
      <c r="P426" t="s">
        <v>158</v>
      </c>
      <c r="Q426">
        <v>2012</v>
      </c>
      <c r="R426" s="4">
        <v>41221</v>
      </c>
      <c r="S426" s="2">
        <v>41264</v>
      </c>
      <c r="T426" s="2">
        <v>41264</v>
      </c>
      <c r="U426" s="4">
        <v>41354</v>
      </c>
      <c r="V426" t="s">
        <v>71</v>
      </c>
      <c r="W426" t="str">
        <f>"              204875"</f>
        <v xml:space="preserve">              204875</v>
      </c>
      <c r="X426">
        <v>423.5</v>
      </c>
      <c r="Y426">
        <v>0</v>
      </c>
      <c r="Z426" s="5">
        <v>423.5</v>
      </c>
      <c r="AA426" s="3">
        <v>1401</v>
      </c>
      <c r="AB426" s="5">
        <v>593323.5</v>
      </c>
      <c r="AC426">
        <v>423.5</v>
      </c>
      <c r="AD426">
        <v>1401</v>
      </c>
      <c r="AE426" s="1">
        <v>593323.5</v>
      </c>
      <c r="AF426">
        <v>0</v>
      </c>
      <c r="AJ426">
        <v>0</v>
      </c>
      <c r="AK426">
        <v>0</v>
      </c>
      <c r="AL426">
        <v>0</v>
      </c>
      <c r="AM426">
        <v>0</v>
      </c>
      <c r="AN426">
        <v>0</v>
      </c>
      <c r="AO426">
        <v>0</v>
      </c>
      <c r="AP426" s="2">
        <v>42831</v>
      </c>
      <c r="AQ426" t="s">
        <v>72</v>
      </c>
      <c r="AR426" t="s">
        <v>72</v>
      </c>
      <c r="AS426">
        <v>17</v>
      </c>
      <c r="AT426" s="4">
        <v>42755</v>
      </c>
      <c r="AU426" t="s">
        <v>73</v>
      </c>
      <c r="AV426">
        <v>17</v>
      </c>
      <c r="AW426" s="4">
        <v>42755</v>
      </c>
      <c r="BD426">
        <v>0</v>
      </c>
      <c r="BN426" t="s">
        <v>74</v>
      </c>
    </row>
    <row r="427" spans="1:66">
      <c r="A427">
        <v>100581</v>
      </c>
      <c r="B427" t="s">
        <v>157</v>
      </c>
      <c r="C427" s="1">
        <v>43300101</v>
      </c>
      <c r="D427" t="s">
        <v>67</v>
      </c>
      <c r="H427" t="str">
        <f t="shared" si="53"/>
        <v>08326710582</v>
      </c>
      <c r="I427" t="str">
        <f t="shared" si="54"/>
        <v>02023671007</v>
      </c>
      <c r="K427" t="str">
        <f>""</f>
        <v/>
      </c>
      <c r="M427" t="s">
        <v>68</v>
      </c>
      <c r="N427" t="str">
        <f t="shared" si="51"/>
        <v>FOR</v>
      </c>
      <c r="O427" t="s">
        <v>69</v>
      </c>
      <c r="P427" t="s">
        <v>158</v>
      </c>
      <c r="Q427">
        <v>2012</v>
      </c>
      <c r="R427" s="4">
        <v>41235</v>
      </c>
      <c r="S427" s="2">
        <v>41264</v>
      </c>
      <c r="T427" s="2">
        <v>41264</v>
      </c>
      <c r="U427" s="4">
        <v>41354</v>
      </c>
      <c r="V427" t="s">
        <v>71</v>
      </c>
      <c r="W427" t="str">
        <f>"              205005"</f>
        <v xml:space="preserve">              205005</v>
      </c>
      <c r="X427">
        <v>605</v>
      </c>
      <c r="Y427">
        <v>0</v>
      </c>
      <c r="Z427" s="5">
        <v>605</v>
      </c>
      <c r="AA427" s="3">
        <v>1401</v>
      </c>
      <c r="AB427" s="5">
        <v>847605</v>
      </c>
      <c r="AC427">
        <v>605</v>
      </c>
      <c r="AD427">
        <v>1401</v>
      </c>
      <c r="AE427" s="1">
        <v>847605</v>
      </c>
      <c r="AF427">
        <v>0</v>
      </c>
      <c r="AJ427">
        <v>0</v>
      </c>
      <c r="AK427">
        <v>0</v>
      </c>
      <c r="AL427">
        <v>0</v>
      </c>
      <c r="AM427">
        <v>0</v>
      </c>
      <c r="AN427">
        <v>0</v>
      </c>
      <c r="AO427">
        <v>0</v>
      </c>
      <c r="AP427" s="2">
        <v>42831</v>
      </c>
      <c r="AQ427" t="s">
        <v>72</v>
      </c>
      <c r="AR427" t="s">
        <v>72</v>
      </c>
      <c r="AS427">
        <v>17</v>
      </c>
      <c r="AT427" s="4">
        <v>42755</v>
      </c>
      <c r="AU427" t="s">
        <v>73</v>
      </c>
      <c r="AV427">
        <v>17</v>
      </c>
      <c r="AW427" s="4">
        <v>42755</v>
      </c>
      <c r="BD427">
        <v>0</v>
      </c>
      <c r="BN427" t="s">
        <v>74</v>
      </c>
    </row>
    <row r="428" spans="1:66">
      <c r="A428">
        <v>100581</v>
      </c>
      <c r="B428" t="s">
        <v>157</v>
      </c>
      <c r="C428" s="1">
        <v>43300101</v>
      </c>
      <c r="D428" t="s">
        <v>67</v>
      </c>
      <c r="H428" t="str">
        <f t="shared" si="53"/>
        <v>08326710582</v>
      </c>
      <c r="I428" t="str">
        <f t="shared" si="54"/>
        <v>02023671007</v>
      </c>
      <c r="K428" t="str">
        <f>""</f>
        <v/>
      </c>
      <c r="M428" t="s">
        <v>68</v>
      </c>
      <c r="N428" t="str">
        <f t="shared" si="51"/>
        <v>FOR</v>
      </c>
      <c r="O428" t="s">
        <v>69</v>
      </c>
      <c r="P428" t="s">
        <v>158</v>
      </c>
      <c r="Q428">
        <v>2012</v>
      </c>
      <c r="R428" s="4">
        <v>41243</v>
      </c>
      <c r="S428" s="2">
        <v>41264</v>
      </c>
      <c r="T428" s="2">
        <v>41264</v>
      </c>
      <c r="U428" s="4">
        <v>41354</v>
      </c>
      <c r="V428" t="s">
        <v>71</v>
      </c>
      <c r="W428" t="str">
        <f>"              205087"</f>
        <v xml:space="preserve">              205087</v>
      </c>
      <c r="X428">
        <v>755.04</v>
      </c>
      <c r="Y428">
        <v>0</v>
      </c>
      <c r="Z428" s="5">
        <v>755.04</v>
      </c>
      <c r="AA428" s="3">
        <v>1401</v>
      </c>
      <c r="AB428" s="5">
        <v>1057811.04</v>
      </c>
      <c r="AC428">
        <v>755.04</v>
      </c>
      <c r="AD428">
        <v>1401</v>
      </c>
      <c r="AE428" s="1">
        <v>1057811.04</v>
      </c>
      <c r="AF428">
        <v>0</v>
      </c>
      <c r="AJ428">
        <v>0</v>
      </c>
      <c r="AK428">
        <v>0</v>
      </c>
      <c r="AL428">
        <v>0</v>
      </c>
      <c r="AM428">
        <v>0</v>
      </c>
      <c r="AN428">
        <v>0</v>
      </c>
      <c r="AO428">
        <v>0</v>
      </c>
      <c r="AP428" s="2">
        <v>42831</v>
      </c>
      <c r="AQ428" t="s">
        <v>72</v>
      </c>
      <c r="AR428" t="s">
        <v>72</v>
      </c>
      <c r="AS428">
        <v>17</v>
      </c>
      <c r="AT428" s="4">
        <v>42755</v>
      </c>
      <c r="AU428" t="s">
        <v>73</v>
      </c>
      <c r="AV428">
        <v>17</v>
      </c>
      <c r="AW428" s="4">
        <v>42755</v>
      </c>
      <c r="BD428">
        <v>0</v>
      </c>
      <c r="BN428" t="s">
        <v>74</v>
      </c>
    </row>
    <row r="429" spans="1:66">
      <c r="A429">
        <v>100581</v>
      </c>
      <c r="B429" t="s">
        <v>157</v>
      </c>
      <c r="C429" s="1">
        <v>43300101</v>
      </c>
      <c r="D429" t="s">
        <v>67</v>
      </c>
      <c r="H429" t="str">
        <f t="shared" si="53"/>
        <v>08326710582</v>
      </c>
      <c r="I429" t="str">
        <f t="shared" si="54"/>
        <v>02023671007</v>
      </c>
      <c r="K429" t="str">
        <f>""</f>
        <v/>
      </c>
      <c r="M429" t="s">
        <v>68</v>
      </c>
      <c r="N429" t="str">
        <f t="shared" si="51"/>
        <v>FOR</v>
      </c>
      <c r="O429" t="s">
        <v>69</v>
      </c>
      <c r="P429" t="s">
        <v>158</v>
      </c>
      <c r="Q429">
        <v>2012</v>
      </c>
      <c r="R429" s="4">
        <v>41249</v>
      </c>
      <c r="S429" s="2">
        <v>41295</v>
      </c>
      <c r="T429" s="2">
        <v>41295</v>
      </c>
      <c r="U429" s="4">
        <v>41385</v>
      </c>
      <c r="V429" t="s">
        <v>71</v>
      </c>
      <c r="W429" t="str">
        <f>"              205214"</f>
        <v xml:space="preserve">              205214</v>
      </c>
      <c r="X429">
        <v>508.2</v>
      </c>
      <c r="Y429">
        <v>0</v>
      </c>
      <c r="Z429" s="5">
        <v>508.2</v>
      </c>
      <c r="AA429" s="3">
        <v>1370</v>
      </c>
      <c r="AB429" s="5">
        <v>696234</v>
      </c>
      <c r="AC429">
        <v>508.2</v>
      </c>
      <c r="AD429">
        <v>1370</v>
      </c>
      <c r="AE429" s="1">
        <v>696234</v>
      </c>
      <c r="AF429">
        <v>0</v>
      </c>
      <c r="AJ429">
        <v>0</v>
      </c>
      <c r="AK429">
        <v>0</v>
      </c>
      <c r="AL429">
        <v>0</v>
      </c>
      <c r="AM429">
        <v>0</v>
      </c>
      <c r="AN429">
        <v>0</v>
      </c>
      <c r="AO429">
        <v>0</v>
      </c>
      <c r="AP429" s="2">
        <v>42831</v>
      </c>
      <c r="AQ429" t="s">
        <v>72</v>
      </c>
      <c r="AR429" t="s">
        <v>72</v>
      </c>
      <c r="AS429">
        <v>17</v>
      </c>
      <c r="AT429" s="4">
        <v>42755</v>
      </c>
      <c r="AU429" t="s">
        <v>73</v>
      </c>
      <c r="AV429">
        <v>17</v>
      </c>
      <c r="AW429" s="4">
        <v>42755</v>
      </c>
      <c r="BD429">
        <v>0</v>
      </c>
      <c r="BN429" t="s">
        <v>74</v>
      </c>
    </row>
    <row r="430" spans="1:66">
      <c r="A430">
        <v>100581</v>
      </c>
      <c r="B430" t="s">
        <v>157</v>
      </c>
      <c r="C430" s="1">
        <v>43300101</v>
      </c>
      <c r="D430" t="s">
        <v>67</v>
      </c>
      <c r="H430" t="str">
        <f t="shared" si="53"/>
        <v>08326710582</v>
      </c>
      <c r="I430" t="str">
        <f t="shared" si="54"/>
        <v>02023671007</v>
      </c>
      <c r="K430" t="str">
        <f>""</f>
        <v/>
      </c>
      <c r="M430" t="s">
        <v>68</v>
      </c>
      <c r="N430" t="str">
        <f t="shared" si="51"/>
        <v>FOR</v>
      </c>
      <c r="O430" t="s">
        <v>69</v>
      </c>
      <c r="P430" t="s">
        <v>158</v>
      </c>
      <c r="Q430">
        <v>2013</v>
      </c>
      <c r="R430" s="4">
        <v>41354</v>
      </c>
      <c r="S430" s="2">
        <v>41404</v>
      </c>
      <c r="T430" s="2">
        <v>41404</v>
      </c>
      <c r="U430" s="4">
        <v>41494</v>
      </c>
      <c r="V430" t="s">
        <v>71</v>
      </c>
      <c r="W430" t="str">
        <f>"              300778"</f>
        <v xml:space="preserve">              300778</v>
      </c>
      <c r="X430" s="1">
        <v>1210</v>
      </c>
      <c r="Y430">
        <v>0</v>
      </c>
      <c r="Z430" s="5">
        <v>1210</v>
      </c>
      <c r="AA430" s="3">
        <v>1261</v>
      </c>
      <c r="AB430" s="5">
        <v>1525810</v>
      </c>
      <c r="AC430" s="1">
        <v>1210</v>
      </c>
      <c r="AD430">
        <v>1261</v>
      </c>
      <c r="AE430" s="1">
        <v>1525810</v>
      </c>
      <c r="AF430">
        <v>0</v>
      </c>
      <c r="AJ430">
        <v>0</v>
      </c>
      <c r="AK430">
        <v>0</v>
      </c>
      <c r="AL430">
        <v>0</v>
      </c>
      <c r="AM430">
        <v>0</v>
      </c>
      <c r="AN430">
        <v>0</v>
      </c>
      <c r="AO430">
        <v>0</v>
      </c>
      <c r="AP430" s="2">
        <v>42831</v>
      </c>
      <c r="AQ430" t="s">
        <v>72</v>
      </c>
      <c r="AR430" t="s">
        <v>72</v>
      </c>
      <c r="AS430">
        <v>17</v>
      </c>
      <c r="AT430" s="4">
        <v>42755</v>
      </c>
      <c r="AU430" t="s">
        <v>73</v>
      </c>
      <c r="AV430">
        <v>17</v>
      </c>
      <c r="AW430" s="4">
        <v>42755</v>
      </c>
      <c r="BD430">
        <v>0</v>
      </c>
      <c r="BN430" t="s">
        <v>74</v>
      </c>
    </row>
    <row r="431" spans="1:66">
      <c r="A431">
        <v>100581</v>
      </c>
      <c r="B431" t="s">
        <v>157</v>
      </c>
      <c r="C431" s="1">
        <v>43300101</v>
      </c>
      <c r="D431" t="s">
        <v>67</v>
      </c>
      <c r="H431" t="str">
        <f t="shared" si="53"/>
        <v>08326710582</v>
      </c>
      <c r="I431" t="str">
        <f t="shared" si="54"/>
        <v>02023671007</v>
      </c>
      <c r="K431" t="str">
        <f>""</f>
        <v/>
      </c>
      <c r="M431" t="s">
        <v>68</v>
      </c>
      <c r="N431" t="str">
        <f t="shared" si="51"/>
        <v>FOR</v>
      </c>
      <c r="O431" t="s">
        <v>69</v>
      </c>
      <c r="P431" t="s">
        <v>158</v>
      </c>
      <c r="Q431">
        <v>2013</v>
      </c>
      <c r="R431" s="4">
        <v>41382</v>
      </c>
      <c r="S431" s="2">
        <v>41414</v>
      </c>
      <c r="T431" s="2">
        <v>41414</v>
      </c>
      <c r="U431" s="4">
        <v>41504</v>
      </c>
      <c r="V431" t="s">
        <v>71</v>
      </c>
      <c r="W431" t="str">
        <f>"              300906"</f>
        <v xml:space="preserve">              300906</v>
      </c>
      <c r="X431" s="1">
        <v>1621.4</v>
      </c>
      <c r="Y431">
        <v>0</v>
      </c>
      <c r="Z431" s="5">
        <v>1621.4</v>
      </c>
      <c r="AA431" s="3">
        <v>1251</v>
      </c>
      <c r="AB431" s="5">
        <v>2028371.4</v>
      </c>
      <c r="AC431" s="1">
        <v>1621.4</v>
      </c>
      <c r="AD431">
        <v>1251</v>
      </c>
      <c r="AE431" s="1">
        <v>2028371.4</v>
      </c>
      <c r="AF431">
        <v>0</v>
      </c>
      <c r="AJ431">
        <v>0</v>
      </c>
      <c r="AK431">
        <v>0</v>
      </c>
      <c r="AL431">
        <v>0</v>
      </c>
      <c r="AM431">
        <v>0</v>
      </c>
      <c r="AN431">
        <v>0</v>
      </c>
      <c r="AO431">
        <v>0</v>
      </c>
      <c r="AP431" s="2">
        <v>42831</v>
      </c>
      <c r="AQ431" t="s">
        <v>72</v>
      </c>
      <c r="AR431" t="s">
        <v>72</v>
      </c>
      <c r="AS431">
        <v>17</v>
      </c>
      <c r="AT431" s="4">
        <v>42755</v>
      </c>
      <c r="AU431" t="s">
        <v>73</v>
      </c>
      <c r="AV431">
        <v>17</v>
      </c>
      <c r="AW431" s="4">
        <v>42755</v>
      </c>
      <c r="BD431">
        <v>0</v>
      </c>
      <c r="BN431" t="s">
        <v>74</v>
      </c>
    </row>
    <row r="432" spans="1:66">
      <c r="A432">
        <v>100581</v>
      </c>
      <c r="B432" t="s">
        <v>157</v>
      </c>
      <c r="C432" s="1">
        <v>43300101</v>
      </c>
      <c r="D432" t="s">
        <v>67</v>
      </c>
      <c r="H432" t="str">
        <f t="shared" si="53"/>
        <v>08326710582</v>
      </c>
      <c r="I432" t="str">
        <f t="shared" si="54"/>
        <v>02023671007</v>
      </c>
      <c r="K432" t="str">
        <f>""</f>
        <v/>
      </c>
      <c r="M432" t="s">
        <v>68</v>
      </c>
      <c r="N432" t="str">
        <f t="shared" si="51"/>
        <v>FOR</v>
      </c>
      <c r="O432" t="s">
        <v>69</v>
      </c>
      <c r="P432" t="s">
        <v>158</v>
      </c>
      <c r="Q432">
        <v>2013</v>
      </c>
      <c r="R432" s="4">
        <v>41403</v>
      </c>
      <c r="S432" s="2">
        <v>41422</v>
      </c>
      <c r="T432" s="2">
        <v>41422</v>
      </c>
      <c r="U432" s="4">
        <v>41512</v>
      </c>
      <c r="V432" t="s">
        <v>71</v>
      </c>
      <c r="W432" t="str">
        <f>"              301055"</f>
        <v xml:space="preserve">              301055</v>
      </c>
      <c r="X432" s="1">
        <v>2468.4</v>
      </c>
      <c r="Y432">
        <v>0</v>
      </c>
      <c r="Z432" s="5">
        <v>2468.4</v>
      </c>
      <c r="AA432" s="3">
        <v>1243</v>
      </c>
      <c r="AB432" s="5">
        <v>3068221.2</v>
      </c>
      <c r="AC432" s="1">
        <v>2468.4</v>
      </c>
      <c r="AD432">
        <v>1243</v>
      </c>
      <c r="AE432" s="1">
        <v>3068221.2</v>
      </c>
      <c r="AF432">
        <v>0</v>
      </c>
      <c r="AJ432">
        <v>0</v>
      </c>
      <c r="AK432">
        <v>0</v>
      </c>
      <c r="AL432">
        <v>0</v>
      </c>
      <c r="AM432">
        <v>0</v>
      </c>
      <c r="AN432">
        <v>0</v>
      </c>
      <c r="AO432">
        <v>0</v>
      </c>
      <c r="AP432" s="2">
        <v>42831</v>
      </c>
      <c r="AQ432" t="s">
        <v>72</v>
      </c>
      <c r="AR432" t="s">
        <v>72</v>
      </c>
      <c r="AS432">
        <v>17</v>
      </c>
      <c r="AT432" s="4">
        <v>42755</v>
      </c>
      <c r="AU432" t="s">
        <v>73</v>
      </c>
      <c r="AV432">
        <v>17</v>
      </c>
      <c r="AW432" s="4">
        <v>42755</v>
      </c>
      <c r="BD432">
        <v>0</v>
      </c>
      <c r="BN432" t="s">
        <v>74</v>
      </c>
    </row>
    <row r="433" spans="1:66">
      <c r="A433">
        <v>100581</v>
      </c>
      <c r="B433" t="s">
        <v>157</v>
      </c>
      <c r="C433" s="1">
        <v>43300101</v>
      </c>
      <c r="D433" t="s">
        <v>67</v>
      </c>
      <c r="H433" t="str">
        <f t="shared" si="53"/>
        <v>08326710582</v>
      </c>
      <c r="I433" t="str">
        <f t="shared" si="54"/>
        <v>02023671007</v>
      </c>
      <c r="K433" t="str">
        <f>""</f>
        <v/>
      </c>
      <c r="M433" t="s">
        <v>68</v>
      </c>
      <c r="N433" t="str">
        <f t="shared" si="51"/>
        <v>FOR</v>
      </c>
      <c r="O433" t="s">
        <v>69</v>
      </c>
      <c r="P433" t="s">
        <v>158</v>
      </c>
      <c r="Q433">
        <v>2013</v>
      </c>
      <c r="R433" s="4">
        <v>41453</v>
      </c>
      <c r="S433" s="2">
        <v>41474</v>
      </c>
      <c r="T433" s="2">
        <v>41474</v>
      </c>
      <c r="U433" s="4">
        <v>41564</v>
      </c>
      <c r="V433" t="s">
        <v>71</v>
      </c>
      <c r="W433" t="str">
        <f>"              301327"</f>
        <v xml:space="preserve">              301327</v>
      </c>
      <c r="X433" s="1">
        <v>2589.4</v>
      </c>
      <c r="Y433">
        <v>0</v>
      </c>
      <c r="Z433" s="5">
        <v>2589.4</v>
      </c>
      <c r="AA433" s="3">
        <v>1191</v>
      </c>
      <c r="AB433" s="5">
        <v>3083975.4</v>
      </c>
      <c r="AC433" s="1">
        <v>2589.4</v>
      </c>
      <c r="AD433">
        <v>1191</v>
      </c>
      <c r="AE433" s="1">
        <v>3083975.4</v>
      </c>
      <c r="AF433">
        <v>0</v>
      </c>
      <c r="AJ433">
        <v>0</v>
      </c>
      <c r="AK433">
        <v>0</v>
      </c>
      <c r="AL433">
        <v>0</v>
      </c>
      <c r="AM433">
        <v>0</v>
      </c>
      <c r="AN433">
        <v>0</v>
      </c>
      <c r="AO433">
        <v>0</v>
      </c>
      <c r="AP433" s="2">
        <v>42831</v>
      </c>
      <c r="AQ433" t="s">
        <v>72</v>
      </c>
      <c r="AR433" t="s">
        <v>72</v>
      </c>
      <c r="AS433">
        <v>17</v>
      </c>
      <c r="AT433" s="4">
        <v>42755</v>
      </c>
      <c r="AU433" t="s">
        <v>73</v>
      </c>
      <c r="AV433">
        <v>17</v>
      </c>
      <c r="AW433" s="4">
        <v>42755</v>
      </c>
      <c r="BD433">
        <v>0</v>
      </c>
      <c r="BN433" t="s">
        <v>74</v>
      </c>
    </row>
    <row r="434" spans="1:66">
      <c r="A434">
        <v>100581</v>
      </c>
      <c r="B434" t="s">
        <v>157</v>
      </c>
      <c r="C434" s="1">
        <v>43300101</v>
      </c>
      <c r="D434" t="s">
        <v>67</v>
      </c>
      <c r="H434" t="str">
        <f t="shared" si="53"/>
        <v>08326710582</v>
      </c>
      <c r="I434" t="str">
        <f t="shared" si="54"/>
        <v>02023671007</v>
      </c>
      <c r="K434" t="str">
        <f>""</f>
        <v/>
      </c>
      <c r="M434" t="s">
        <v>68</v>
      </c>
      <c r="N434" t="str">
        <f t="shared" si="51"/>
        <v>FOR</v>
      </c>
      <c r="O434" t="s">
        <v>69</v>
      </c>
      <c r="P434" t="s">
        <v>158</v>
      </c>
      <c r="Q434">
        <v>2013</v>
      </c>
      <c r="R434" s="4">
        <v>41486</v>
      </c>
      <c r="S434" s="2">
        <v>41513</v>
      </c>
      <c r="T434" s="2">
        <v>41513</v>
      </c>
      <c r="U434" s="4">
        <v>41603</v>
      </c>
      <c r="V434" t="s">
        <v>71</v>
      </c>
      <c r="W434" t="str">
        <f>"              301483"</f>
        <v xml:space="preserve">              301483</v>
      </c>
      <c r="X434" s="1">
        <v>1452</v>
      </c>
      <c r="Y434">
        <v>0</v>
      </c>
      <c r="Z434" s="5">
        <v>1452</v>
      </c>
      <c r="AA434" s="3">
        <v>1152</v>
      </c>
      <c r="AB434" s="5">
        <v>1672704</v>
      </c>
      <c r="AC434" s="1">
        <v>1452</v>
      </c>
      <c r="AD434">
        <v>1152</v>
      </c>
      <c r="AE434" s="1">
        <v>1672704</v>
      </c>
      <c r="AF434">
        <v>0</v>
      </c>
      <c r="AJ434">
        <v>0</v>
      </c>
      <c r="AK434">
        <v>0</v>
      </c>
      <c r="AL434">
        <v>0</v>
      </c>
      <c r="AM434">
        <v>0</v>
      </c>
      <c r="AN434">
        <v>0</v>
      </c>
      <c r="AO434">
        <v>0</v>
      </c>
      <c r="AP434" s="2">
        <v>42831</v>
      </c>
      <c r="AQ434" t="s">
        <v>72</v>
      </c>
      <c r="AR434" t="s">
        <v>72</v>
      </c>
      <c r="AS434">
        <v>17</v>
      </c>
      <c r="AT434" s="4">
        <v>42755</v>
      </c>
      <c r="AU434" t="s">
        <v>73</v>
      </c>
      <c r="AV434">
        <v>17</v>
      </c>
      <c r="AW434" s="4">
        <v>42755</v>
      </c>
      <c r="BD434">
        <v>0</v>
      </c>
      <c r="BN434" t="s">
        <v>74</v>
      </c>
    </row>
    <row r="435" spans="1:66">
      <c r="A435">
        <v>100581</v>
      </c>
      <c r="B435" t="s">
        <v>157</v>
      </c>
      <c r="C435" s="1">
        <v>43300101</v>
      </c>
      <c r="D435" t="s">
        <v>67</v>
      </c>
      <c r="H435" t="str">
        <f t="shared" si="53"/>
        <v>08326710582</v>
      </c>
      <c r="I435" t="str">
        <f t="shared" si="54"/>
        <v>02023671007</v>
      </c>
      <c r="K435" t="str">
        <f>""</f>
        <v/>
      </c>
      <c r="M435" t="s">
        <v>68</v>
      </c>
      <c r="N435" t="str">
        <f t="shared" si="51"/>
        <v>FOR</v>
      </c>
      <c r="O435" t="s">
        <v>69</v>
      </c>
      <c r="P435" t="s">
        <v>70</v>
      </c>
      <c r="Q435">
        <v>2013</v>
      </c>
      <c r="R435" s="4">
        <v>41628</v>
      </c>
      <c r="S435" s="2">
        <v>42205</v>
      </c>
      <c r="T435" s="2">
        <v>42205</v>
      </c>
      <c r="U435" s="4">
        <v>42265</v>
      </c>
      <c r="V435" t="s">
        <v>71</v>
      </c>
      <c r="W435" t="str">
        <f>"              302388"</f>
        <v xml:space="preserve">              302388</v>
      </c>
      <c r="X435">
        <v>90.94</v>
      </c>
      <c r="Y435">
        <v>0</v>
      </c>
      <c r="Z435" s="5">
        <v>90.94</v>
      </c>
      <c r="AA435" s="3">
        <v>490</v>
      </c>
      <c r="AB435" s="5">
        <v>44560.6</v>
      </c>
      <c r="AC435">
        <v>90.94</v>
      </c>
      <c r="AD435">
        <v>490</v>
      </c>
      <c r="AE435" s="1">
        <v>44560.6</v>
      </c>
      <c r="AF435">
        <v>0</v>
      </c>
      <c r="AJ435">
        <v>0</v>
      </c>
      <c r="AK435">
        <v>0</v>
      </c>
      <c r="AL435">
        <v>0</v>
      </c>
      <c r="AM435">
        <v>0</v>
      </c>
      <c r="AN435">
        <v>0</v>
      </c>
      <c r="AO435">
        <v>0</v>
      </c>
      <c r="AP435" s="2">
        <v>42831</v>
      </c>
      <c r="AQ435" t="s">
        <v>72</v>
      </c>
      <c r="AR435" t="s">
        <v>72</v>
      </c>
      <c r="AS435">
        <v>17</v>
      </c>
      <c r="AT435" s="4">
        <v>42755</v>
      </c>
      <c r="AU435" t="s">
        <v>73</v>
      </c>
      <c r="AV435">
        <v>17</v>
      </c>
      <c r="AW435" s="4">
        <v>42755</v>
      </c>
      <c r="BD435">
        <v>0</v>
      </c>
      <c r="BN435" t="s">
        <v>74</v>
      </c>
    </row>
    <row r="436" spans="1:66">
      <c r="A436">
        <v>100581</v>
      </c>
      <c r="B436" t="s">
        <v>157</v>
      </c>
      <c r="C436" s="1">
        <v>43300101</v>
      </c>
      <c r="D436" t="s">
        <v>67</v>
      </c>
      <c r="H436" t="str">
        <f t="shared" si="53"/>
        <v>08326710582</v>
      </c>
      <c r="I436" t="str">
        <f t="shared" si="54"/>
        <v>02023671007</v>
      </c>
      <c r="K436" t="str">
        <f>""</f>
        <v/>
      </c>
      <c r="M436" t="s">
        <v>68</v>
      </c>
      <c r="N436" t="str">
        <f t="shared" si="51"/>
        <v>FOR</v>
      </c>
      <c r="O436" t="s">
        <v>69</v>
      </c>
      <c r="P436" t="s">
        <v>158</v>
      </c>
      <c r="Q436">
        <v>2013</v>
      </c>
      <c r="R436" s="4">
        <v>41578</v>
      </c>
      <c r="S436" s="2">
        <v>41624</v>
      </c>
      <c r="T436" s="2">
        <v>41624</v>
      </c>
      <c r="U436" s="4">
        <v>41714</v>
      </c>
      <c r="V436" t="s">
        <v>71</v>
      </c>
      <c r="W436" t="str">
        <f>"           V3/301901"</f>
        <v xml:space="preserve">           V3/301901</v>
      </c>
      <c r="X436">
        <v>669.42</v>
      </c>
      <c r="Y436">
        <v>0</v>
      </c>
      <c r="Z436" s="5">
        <v>669.42</v>
      </c>
      <c r="AA436" s="3">
        <v>1041</v>
      </c>
      <c r="AB436" s="5">
        <v>696866.22</v>
      </c>
      <c r="AC436">
        <v>669.42</v>
      </c>
      <c r="AD436">
        <v>1041</v>
      </c>
      <c r="AE436" s="1">
        <v>696866.22</v>
      </c>
      <c r="AF436">
        <v>0</v>
      </c>
      <c r="AJ436">
        <v>0</v>
      </c>
      <c r="AK436">
        <v>0</v>
      </c>
      <c r="AL436">
        <v>0</v>
      </c>
      <c r="AM436">
        <v>0</v>
      </c>
      <c r="AN436">
        <v>0</v>
      </c>
      <c r="AO436">
        <v>0</v>
      </c>
      <c r="AP436" s="2">
        <v>42831</v>
      </c>
      <c r="AQ436" t="s">
        <v>72</v>
      </c>
      <c r="AR436" t="s">
        <v>72</v>
      </c>
      <c r="AS436">
        <v>17</v>
      </c>
      <c r="AT436" s="4">
        <v>42755</v>
      </c>
      <c r="AU436" t="s">
        <v>73</v>
      </c>
      <c r="AV436">
        <v>17</v>
      </c>
      <c r="AW436" s="4">
        <v>42755</v>
      </c>
      <c r="BD436">
        <v>0</v>
      </c>
      <c r="BN436" t="s">
        <v>74</v>
      </c>
    </row>
    <row r="437" spans="1:66">
      <c r="A437">
        <v>100581</v>
      </c>
      <c r="B437" t="s">
        <v>157</v>
      </c>
      <c r="C437" s="1">
        <v>43300101</v>
      </c>
      <c r="D437" t="s">
        <v>67</v>
      </c>
      <c r="H437" t="str">
        <f t="shared" si="53"/>
        <v>08326710582</v>
      </c>
      <c r="I437" t="str">
        <f t="shared" si="54"/>
        <v>02023671007</v>
      </c>
      <c r="K437" t="str">
        <f>""</f>
        <v/>
      </c>
      <c r="M437" t="s">
        <v>68</v>
      </c>
      <c r="N437" t="str">
        <f t="shared" si="51"/>
        <v>FOR</v>
      </c>
      <c r="O437" t="s">
        <v>69</v>
      </c>
      <c r="P437" t="s">
        <v>158</v>
      </c>
      <c r="Q437">
        <v>2013</v>
      </c>
      <c r="R437" s="4">
        <v>41627</v>
      </c>
      <c r="S437" s="2">
        <v>41730</v>
      </c>
      <c r="T437" s="2">
        <v>41730</v>
      </c>
      <c r="U437" s="4">
        <v>41820</v>
      </c>
      <c r="V437" t="s">
        <v>71</v>
      </c>
      <c r="W437" t="str">
        <f>"           V3/302150"</f>
        <v xml:space="preserve">           V3/302150</v>
      </c>
      <c r="X437">
        <v>116.37</v>
      </c>
      <c r="Y437">
        <v>0</v>
      </c>
      <c r="Z437" s="5">
        <v>116.37</v>
      </c>
      <c r="AA437" s="3">
        <v>935</v>
      </c>
      <c r="AB437" s="5">
        <v>108805.95</v>
      </c>
      <c r="AC437">
        <v>116.37</v>
      </c>
      <c r="AD437">
        <v>935</v>
      </c>
      <c r="AE437" s="1">
        <v>108805.95</v>
      </c>
      <c r="AF437">
        <v>0</v>
      </c>
      <c r="AJ437">
        <v>0</v>
      </c>
      <c r="AK437">
        <v>0</v>
      </c>
      <c r="AL437">
        <v>0</v>
      </c>
      <c r="AM437">
        <v>0</v>
      </c>
      <c r="AN437">
        <v>0</v>
      </c>
      <c r="AO437">
        <v>0</v>
      </c>
      <c r="AP437" s="2">
        <v>42831</v>
      </c>
      <c r="AQ437" t="s">
        <v>72</v>
      </c>
      <c r="AR437" t="s">
        <v>72</v>
      </c>
      <c r="AS437">
        <v>17</v>
      </c>
      <c r="AT437" s="4">
        <v>42755</v>
      </c>
      <c r="AU437" t="s">
        <v>73</v>
      </c>
      <c r="AV437">
        <v>17</v>
      </c>
      <c r="AW437" s="4">
        <v>42755</v>
      </c>
      <c r="BD437">
        <v>0</v>
      </c>
      <c r="BN437" t="s">
        <v>74</v>
      </c>
    </row>
    <row r="438" spans="1:66">
      <c r="A438">
        <v>100581</v>
      </c>
      <c r="B438" t="s">
        <v>157</v>
      </c>
      <c r="C438" s="1">
        <v>43300101</v>
      </c>
      <c r="D438" t="s">
        <v>67</v>
      </c>
      <c r="H438" t="str">
        <f t="shared" si="53"/>
        <v>08326710582</v>
      </c>
      <c r="I438" t="str">
        <f t="shared" si="54"/>
        <v>02023671007</v>
      </c>
      <c r="K438" t="str">
        <f>""</f>
        <v/>
      </c>
      <c r="M438" t="s">
        <v>68</v>
      </c>
      <c r="N438" t="str">
        <f t="shared" si="51"/>
        <v>FOR</v>
      </c>
      <c r="O438" t="s">
        <v>69</v>
      </c>
      <c r="P438" t="s">
        <v>158</v>
      </c>
      <c r="Q438">
        <v>2014</v>
      </c>
      <c r="R438" s="4">
        <v>41718</v>
      </c>
      <c r="S438" s="2">
        <v>41743</v>
      </c>
      <c r="T438" s="2">
        <v>41743</v>
      </c>
      <c r="U438" s="4">
        <v>41833</v>
      </c>
      <c r="V438" t="s">
        <v>71</v>
      </c>
      <c r="W438" t="str">
        <f>"           V3/400188"</f>
        <v xml:space="preserve">           V3/400188</v>
      </c>
      <c r="X438">
        <v>93.97</v>
      </c>
      <c r="Y438">
        <v>0</v>
      </c>
      <c r="Z438" s="5">
        <v>93.97</v>
      </c>
      <c r="AA438" s="3">
        <v>922</v>
      </c>
      <c r="AB438" s="5">
        <v>86640.34</v>
      </c>
      <c r="AC438">
        <v>93.97</v>
      </c>
      <c r="AD438">
        <v>922</v>
      </c>
      <c r="AE438" s="1">
        <v>86640.34</v>
      </c>
      <c r="AF438">
        <v>0</v>
      </c>
      <c r="AJ438">
        <v>0</v>
      </c>
      <c r="AK438">
        <v>0</v>
      </c>
      <c r="AL438">
        <v>0</v>
      </c>
      <c r="AM438">
        <v>0</v>
      </c>
      <c r="AN438">
        <v>0</v>
      </c>
      <c r="AO438">
        <v>0</v>
      </c>
      <c r="AP438" s="2">
        <v>42831</v>
      </c>
      <c r="AQ438" t="s">
        <v>72</v>
      </c>
      <c r="AR438" t="s">
        <v>72</v>
      </c>
      <c r="AS438">
        <v>17</v>
      </c>
      <c r="AT438" s="4">
        <v>42755</v>
      </c>
      <c r="AU438" t="s">
        <v>73</v>
      </c>
      <c r="AV438">
        <v>17</v>
      </c>
      <c r="AW438" s="4">
        <v>42755</v>
      </c>
      <c r="BD438">
        <v>0</v>
      </c>
      <c r="BN438" t="s">
        <v>74</v>
      </c>
    </row>
    <row r="439" spans="1:66">
      <c r="A439">
        <v>100581</v>
      </c>
      <c r="B439" t="s">
        <v>157</v>
      </c>
      <c r="C439" s="1">
        <v>43300101</v>
      </c>
      <c r="D439" t="s">
        <v>67</v>
      </c>
      <c r="H439" t="str">
        <f t="shared" si="53"/>
        <v>08326710582</v>
      </c>
      <c r="I439" t="str">
        <f t="shared" si="54"/>
        <v>02023671007</v>
      </c>
      <c r="K439" t="str">
        <f>""</f>
        <v/>
      </c>
      <c r="M439" t="s">
        <v>68</v>
      </c>
      <c r="N439" t="str">
        <f t="shared" si="51"/>
        <v>FOR</v>
      </c>
      <c r="O439" t="s">
        <v>69</v>
      </c>
      <c r="P439" t="s">
        <v>158</v>
      </c>
      <c r="Q439">
        <v>2014</v>
      </c>
      <c r="R439" s="4">
        <v>41722</v>
      </c>
      <c r="S439" s="2">
        <v>41743</v>
      </c>
      <c r="T439" s="2">
        <v>41743</v>
      </c>
      <c r="U439" s="4">
        <v>41833</v>
      </c>
      <c r="V439" t="s">
        <v>71</v>
      </c>
      <c r="W439" t="str">
        <f>"           V3/400353"</f>
        <v xml:space="preserve">           V3/400353</v>
      </c>
      <c r="X439">
        <v>173.6</v>
      </c>
      <c r="Y439">
        <v>0</v>
      </c>
      <c r="Z439" s="5">
        <v>173.6</v>
      </c>
      <c r="AA439" s="3">
        <v>922</v>
      </c>
      <c r="AB439" s="5">
        <v>160059.20000000001</v>
      </c>
      <c r="AC439">
        <v>173.6</v>
      </c>
      <c r="AD439">
        <v>922</v>
      </c>
      <c r="AE439" s="1">
        <v>160059.20000000001</v>
      </c>
      <c r="AF439">
        <v>0</v>
      </c>
      <c r="AJ439">
        <v>0</v>
      </c>
      <c r="AK439">
        <v>0</v>
      </c>
      <c r="AL439">
        <v>0</v>
      </c>
      <c r="AM439">
        <v>0</v>
      </c>
      <c r="AN439">
        <v>0</v>
      </c>
      <c r="AO439">
        <v>0</v>
      </c>
      <c r="AP439" s="2">
        <v>42831</v>
      </c>
      <c r="AQ439" t="s">
        <v>72</v>
      </c>
      <c r="AR439" t="s">
        <v>72</v>
      </c>
      <c r="AS439">
        <v>17</v>
      </c>
      <c r="AT439" s="4">
        <v>42755</v>
      </c>
      <c r="AU439" t="s">
        <v>73</v>
      </c>
      <c r="AV439">
        <v>17</v>
      </c>
      <c r="AW439" s="4">
        <v>42755</v>
      </c>
      <c r="BD439">
        <v>0</v>
      </c>
      <c r="BN439" t="s">
        <v>74</v>
      </c>
    </row>
    <row r="440" spans="1:66">
      <c r="A440">
        <v>100581</v>
      </c>
      <c r="B440" t="s">
        <v>157</v>
      </c>
      <c r="C440" s="1">
        <v>43300101</v>
      </c>
      <c r="D440" t="s">
        <v>67</v>
      </c>
      <c r="H440" t="str">
        <f t="shared" si="53"/>
        <v>08326710582</v>
      </c>
      <c r="I440" t="str">
        <f t="shared" si="54"/>
        <v>02023671007</v>
      </c>
      <c r="K440" t="str">
        <f>""</f>
        <v/>
      </c>
      <c r="M440" t="s">
        <v>68</v>
      </c>
      <c r="N440" t="str">
        <f t="shared" si="51"/>
        <v>FOR</v>
      </c>
      <c r="O440" t="s">
        <v>69</v>
      </c>
      <c r="P440" t="s">
        <v>158</v>
      </c>
      <c r="Q440">
        <v>2014</v>
      </c>
      <c r="R440" s="4">
        <v>41773</v>
      </c>
      <c r="S440" s="2">
        <v>41821</v>
      </c>
      <c r="T440" s="2">
        <v>41821</v>
      </c>
      <c r="U440" s="4">
        <v>41911</v>
      </c>
      <c r="V440" t="s">
        <v>71</v>
      </c>
      <c r="W440" t="str">
        <f>"           V3/400616"</f>
        <v xml:space="preserve">           V3/400616</v>
      </c>
      <c r="X440">
        <v>179.5</v>
      </c>
      <c r="Y440">
        <v>0</v>
      </c>
      <c r="Z440" s="5">
        <v>179.5</v>
      </c>
      <c r="AA440" s="3">
        <v>844</v>
      </c>
      <c r="AB440" s="5">
        <v>151498</v>
      </c>
      <c r="AC440">
        <v>179.5</v>
      </c>
      <c r="AD440">
        <v>844</v>
      </c>
      <c r="AE440" s="1">
        <v>151498</v>
      </c>
      <c r="AF440">
        <v>0</v>
      </c>
      <c r="AJ440">
        <v>0</v>
      </c>
      <c r="AK440">
        <v>0</v>
      </c>
      <c r="AL440">
        <v>0</v>
      </c>
      <c r="AM440">
        <v>0</v>
      </c>
      <c r="AN440">
        <v>0</v>
      </c>
      <c r="AO440">
        <v>0</v>
      </c>
      <c r="AP440" s="2">
        <v>42831</v>
      </c>
      <c r="AQ440" t="s">
        <v>72</v>
      </c>
      <c r="AR440" t="s">
        <v>72</v>
      </c>
      <c r="AS440">
        <v>17</v>
      </c>
      <c r="AT440" s="4">
        <v>42755</v>
      </c>
      <c r="AU440" t="s">
        <v>73</v>
      </c>
      <c r="AV440">
        <v>17</v>
      </c>
      <c r="AW440" s="4">
        <v>42755</v>
      </c>
      <c r="BD440">
        <v>0</v>
      </c>
      <c r="BN440" t="s">
        <v>74</v>
      </c>
    </row>
    <row r="441" spans="1:66">
      <c r="A441">
        <v>100583</v>
      </c>
      <c r="B441" t="s">
        <v>159</v>
      </c>
      <c r="C441" s="1">
        <v>43300101</v>
      </c>
      <c r="D441" t="s">
        <v>67</v>
      </c>
      <c r="H441" t="str">
        <f>"04888070960"</f>
        <v>04888070960</v>
      </c>
      <c r="I441" t="str">
        <f>"04888070960"</f>
        <v>04888070960</v>
      </c>
      <c r="K441" t="str">
        <f>""</f>
        <v/>
      </c>
      <c r="M441" t="s">
        <v>68</v>
      </c>
      <c r="N441" t="str">
        <f t="shared" si="51"/>
        <v>FOR</v>
      </c>
      <c r="O441" t="s">
        <v>69</v>
      </c>
      <c r="P441" t="s">
        <v>75</v>
      </c>
      <c r="Q441">
        <v>2016</v>
      </c>
      <c r="R441" s="4">
        <v>42699</v>
      </c>
      <c r="S441" s="2">
        <v>42711</v>
      </c>
      <c r="T441" s="2">
        <v>42705</v>
      </c>
      <c r="U441" s="4">
        <v>42765</v>
      </c>
      <c r="V441" t="s">
        <v>71</v>
      </c>
      <c r="W441" t="str">
        <f>"             V4/ 194"</f>
        <v xml:space="preserve">             V4/ 194</v>
      </c>
      <c r="X441">
        <v>968</v>
      </c>
      <c r="Y441">
        <v>0</v>
      </c>
      <c r="Z441" s="5">
        <v>880</v>
      </c>
      <c r="AA441" s="3">
        <v>3</v>
      </c>
      <c r="AB441" s="5">
        <v>2640</v>
      </c>
      <c r="AC441">
        <v>880</v>
      </c>
      <c r="AD441">
        <v>3</v>
      </c>
      <c r="AE441" s="1">
        <v>2640</v>
      </c>
      <c r="AF441">
        <v>0</v>
      </c>
      <c r="AJ441">
        <v>0</v>
      </c>
      <c r="AK441">
        <v>0</v>
      </c>
      <c r="AL441">
        <v>0</v>
      </c>
      <c r="AM441">
        <v>0</v>
      </c>
      <c r="AN441">
        <v>0</v>
      </c>
      <c r="AO441">
        <v>0</v>
      </c>
      <c r="AP441" s="2">
        <v>42831</v>
      </c>
      <c r="AQ441" t="s">
        <v>72</v>
      </c>
      <c r="AR441" t="s">
        <v>72</v>
      </c>
      <c r="AS441">
        <v>289</v>
      </c>
      <c r="AT441" s="4">
        <v>42768</v>
      </c>
      <c r="AU441" t="s">
        <v>73</v>
      </c>
      <c r="AV441">
        <v>289</v>
      </c>
      <c r="AW441" s="4">
        <v>42768</v>
      </c>
      <c r="BD441">
        <v>0</v>
      </c>
      <c r="BN441" t="s">
        <v>74</v>
      </c>
    </row>
    <row r="442" spans="1:66">
      <c r="A442">
        <v>100616</v>
      </c>
      <c r="B442" t="s">
        <v>160</v>
      </c>
      <c r="C442" s="1">
        <v>43500101</v>
      </c>
      <c r="D442" t="s">
        <v>98</v>
      </c>
      <c r="H442" t="str">
        <f>"VSSSNT75H43I234Q"</f>
        <v>VSSSNT75H43I234Q</v>
      </c>
      <c r="I442" t="str">
        <f>"01323420628"</f>
        <v>01323420628</v>
      </c>
      <c r="K442" t="str">
        <f>""</f>
        <v/>
      </c>
      <c r="M442" t="s">
        <v>68</v>
      </c>
      <c r="N442" t="str">
        <f>"ALTPRO"</f>
        <v>ALTPRO</v>
      </c>
      <c r="O442" t="s">
        <v>116</v>
      </c>
      <c r="P442" t="s">
        <v>75</v>
      </c>
      <c r="Q442">
        <v>2017</v>
      </c>
      <c r="R442" s="4">
        <v>42748</v>
      </c>
      <c r="S442" s="2">
        <v>42752</v>
      </c>
      <c r="T442" s="2">
        <v>42748</v>
      </c>
      <c r="U442" s="4">
        <v>42808</v>
      </c>
      <c r="V442" t="s">
        <v>71</v>
      </c>
      <c r="W442" t="str">
        <f>"       000001-2017-A"</f>
        <v xml:space="preserve">       000001-2017-A</v>
      </c>
      <c r="X442" s="1">
        <v>2634</v>
      </c>
      <c r="Y442">
        <v>-526.79999999999995</v>
      </c>
      <c r="Z442" s="5">
        <v>2107.1999999999998</v>
      </c>
      <c r="AA442" s="3">
        <v>-43</v>
      </c>
      <c r="AB442" s="5">
        <v>-90609.600000000006</v>
      </c>
      <c r="AC442" s="1">
        <v>2107.1999999999998</v>
      </c>
      <c r="AD442">
        <v>-43</v>
      </c>
      <c r="AE442" s="1">
        <v>-90609.600000000006</v>
      </c>
      <c r="AF442">
        <v>0</v>
      </c>
      <c r="AJ442">
        <v>-526.79999999999995</v>
      </c>
      <c r="AK442" s="1">
        <v>2107.1999999999998</v>
      </c>
      <c r="AL442" s="1">
        <v>2107.1999999999998</v>
      </c>
      <c r="AM442">
        <v>-526.79999999999995</v>
      </c>
      <c r="AN442" s="1">
        <v>2107.1999999999998</v>
      </c>
      <c r="AO442" s="1">
        <v>2107.1999999999998</v>
      </c>
      <c r="AP442" s="2">
        <v>42831</v>
      </c>
      <c r="AQ442" t="s">
        <v>72</v>
      </c>
      <c r="AR442" t="s">
        <v>72</v>
      </c>
      <c r="AS442">
        <v>113</v>
      </c>
      <c r="AT442" s="4">
        <v>42765</v>
      </c>
      <c r="AV442">
        <v>113</v>
      </c>
      <c r="AW442" s="4">
        <v>42765</v>
      </c>
      <c r="BD442">
        <v>0</v>
      </c>
      <c r="BN442" t="s">
        <v>74</v>
      </c>
    </row>
    <row r="443" spans="1:66">
      <c r="A443">
        <v>100616</v>
      </c>
      <c r="B443" t="s">
        <v>160</v>
      </c>
      <c r="C443" s="1">
        <v>43500101</v>
      </c>
      <c r="D443" t="s">
        <v>98</v>
      </c>
      <c r="H443" t="str">
        <f>"VSSSNT75H43I234Q"</f>
        <v>VSSSNT75H43I234Q</v>
      </c>
      <c r="I443" t="str">
        <f>"01323420628"</f>
        <v>01323420628</v>
      </c>
      <c r="K443" t="str">
        <f>""</f>
        <v/>
      </c>
      <c r="M443" t="s">
        <v>68</v>
      </c>
      <c r="N443" t="str">
        <f>"ALTPRO"</f>
        <v>ALTPRO</v>
      </c>
      <c r="O443" t="s">
        <v>116</v>
      </c>
      <c r="P443" t="s">
        <v>75</v>
      </c>
      <c r="Q443">
        <v>2017</v>
      </c>
      <c r="R443" s="4">
        <v>42773</v>
      </c>
      <c r="S443" s="2">
        <v>42774</v>
      </c>
      <c r="T443" s="2">
        <v>42773</v>
      </c>
      <c r="U443" s="4">
        <v>42833</v>
      </c>
      <c r="V443" t="s">
        <v>71</v>
      </c>
      <c r="W443" t="str">
        <f>"       000002-2017-A"</f>
        <v xml:space="preserve">       000002-2017-A</v>
      </c>
      <c r="X443" s="1">
        <v>2634</v>
      </c>
      <c r="Y443">
        <v>-526.79999999999995</v>
      </c>
      <c r="Z443" s="5">
        <v>2107.1999999999998</v>
      </c>
      <c r="AA443" s="3">
        <v>-57</v>
      </c>
      <c r="AB443" s="5">
        <v>-120110.39999999999</v>
      </c>
      <c r="AC443" s="1">
        <v>2107.1999999999998</v>
      </c>
      <c r="AD443">
        <v>-57</v>
      </c>
      <c r="AE443" s="1">
        <v>-120110.39999999999</v>
      </c>
      <c r="AF443">
        <v>0</v>
      </c>
      <c r="AJ443" s="1">
        <v>2107.1999999999998</v>
      </c>
      <c r="AK443" s="1">
        <v>2107.1999999999998</v>
      </c>
      <c r="AL443" s="1">
        <v>2107.1999999999998</v>
      </c>
      <c r="AM443" s="1">
        <v>2107.1999999999998</v>
      </c>
      <c r="AN443" s="1">
        <v>2107.1999999999998</v>
      </c>
      <c r="AO443" s="1">
        <v>2107.1999999999998</v>
      </c>
      <c r="AP443" s="2">
        <v>42831</v>
      </c>
      <c r="AQ443" t="s">
        <v>72</v>
      </c>
      <c r="AR443" t="s">
        <v>72</v>
      </c>
      <c r="AS443">
        <v>403</v>
      </c>
      <c r="AT443" s="4">
        <v>42776</v>
      </c>
      <c r="AV443">
        <v>403</v>
      </c>
      <c r="AW443" s="4">
        <v>42776</v>
      </c>
      <c r="BD443">
        <v>0</v>
      </c>
      <c r="BN443" t="s">
        <v>74</v>
      </c>
    </row>
    <row r="444" spans="1:66">
      <c r="A444">
        <v>100616</v>
      </c>
      <c r="B444" t="s">
        <v>160</v>
      </c>
      <c r="C444" s="1">
        <v>43500101</v>
      </c>
      <c r="D444" t="s">
        <v>98</v>
      </c>
      <c r="H444" t="str">
        <f>"VSSSNT75H43I234Q"</f>
        <v>VSSSNT75H43I234Q</v>
      </c>
      <c r="I444" t="str">
        <f>"01323420628"</f>
        <v>01323420628</v>
      </c>
      <c r="K444" t="str">
        <f>""</f>
        <v/>
      </c>
      <c r="M444" t="s">
        <v>68</v>
      </c>
      <c r="N444" t="str">
        <f>"ALTPRO"</f>
        <v>ALTPRO</v>
      </c>
      <c r="O444" t="s">
        <v>116</v>
      </c>
      <c r="P444" t="s">
        <v>75</v>
      </c>
      <c r="Q444">
        <v>2017</v>
      </c>
      <c r="R444" s="4">
        <v>42796</v>
      </c>
      <c r="S444" s="2">
        <v>42797</v>
      </c>
      <c r="T444" s="2">
        <v>42796</v>
      </c>
      <c r="U444" s="4">
        <v>42856</v>
      </c>
      <c r="V444" t="s">
        <v>71</v>
      </c>
      <c r="W444" t="str">
        <f>"       000003-2017-A"</f>
        <v xml:space="preserve">       000003-2017-A</v>
      </c>
      <c r="X444" s="1">
        <v>2458.4</v>
      </c>
      <c r="Y444">
        <v>-491.68</v>
      </c>
      <c r="Z444" s="5">
        <v>1966.72</v>
      </c>
      <c r="AA444" s="3">
        <v>-59</v>
      </c>
      <c r="AB444" s="5">
        <v>-116036.48</v>
      </c>
      <c r="AC444" s="1">
        <v>1966.72</v>
      </c>
      <c r="AD444">
        <v>-59</v>
      </c>
      <c r="AE444" s="1">
        <v>-116036.48</v>
      </c>
      <c r="AF444">
        <v>0</v>
      </c>
      <c r="AJ444" s="1">
        <v>1966.72</v>
      </c>
      <c r="AK444" s="1">
        <v>1966.72</v>
      </c>
      <c r="AL444" s="1">
        <v>1966.72</v>
      </c>
      <c r="AM444" s="1">
        <v>1966.72</v>
      </c>
      <c r="AN444" s="1">
        <v>1966.72</v>
      </c>
      <c r="AO444" s="1">
        <v>1966.72</v>
      </c>
      <c r="AP444" s="2">
        <v>42831</v>
      </c>
      <c r="AQ444" t="s">
        <v>72</v>
      </c>
      <c r="AR444" t="s">
        <v>72</v>
      </c>
      <c r="AS444">
        <v>725</v>
      </c>
      <c r="AT444" s="4">
        <v>42797</v>
      </c>
      <c r="AV444">
        <v>725</v>
      </c>
      <c r="AW444" s="4">
        <v>42797</v>
      </c>
      <c r="BD444">
        <v>0</v>
      </c>
      <c r="BN444" t="s">
        <v>74</v>
      </c>
    </row>
    <row r="445" spans="1:66">
      <c r="A445">
        <v>100622</v>
      </c>
      <c r="B445" t="s">
        <v>161</v>
      </c>
      <c r="C445" s="1">
        <v>43300101</v>
      </c>
      <c r="D445" t="s">
        <v>67</v>
      </c>
      <c r="H445" t="str">
        <f t="shared" ref="H445:I447" si="55">"01681100150"</f>
        <v>01681100150</v>
      </c>
      <c r="I445" t="str">
        <f t="shared" si="55"/>
        <v>01681100150</v>
      </c>
      <c r="K445" t="str">
        <f>""</f>
        <v/>
      </c>
      <c r="M445" t="s">
        <v>68</v>
      </c>
      <c r="N445" t="str">
        <f t="shared" ref="N445:N462" si="56">"FOR"</f>
        <v>FOR</v>
      </c>
      <c r="O445" t="s">
        <v>69</v>
      </c>
      <c r="P445" t="s">
        <v>75</v>
      </c>
      <c r="Q445">
        <v>2016</v>
      </c>
      <c r="R445" s="4">
        <v>42489</v>
      </c>
      <c r="S445" s="2">
        <v>42492</v>
      </c>
      <c r="T445" s="2">
        <v>42492</v>
      </c>
      <c r="U445" s="4">
        <v>42552</v>
      </c>
      <c r="V445" t="s">
        <v>71</v>
      </c>
      <c r="W445" t="str">
        <f>"          VP  002592"</f>
        <v xml:space="preserve">          VP  002592</v>
      </c>
      <c r="X445" s="1">
        <v>2135</v>
      </c>
      <c r="Y445">
        <v>0</v>
      </c>
      <c r="Z445" s="5">
        <v>1750</v>
      </c>
      <c r="AA445" s="3">
        <v>229</v>
      </c>
      <c r="AB445" s="5">
        <v>400750</v>
      </c>
      <c r="AC445" s="1">
        <v>1750</v>
      </c>
      <c r="AD445">
        <v>229</v>
      </c>
      <c r="AE445" s="1">
        <v>400750</v>
      </c>
      <c r="AF445">
        <v>0</v>
      </c>
      <c r="AJ445">
        <v>0</v>
      </c>
      <c r="AK445">
        <v>0</v>
      </c>
      <c r="AL445">
        <v>0</v>
      </c>
      <c r="AM445">
        <v>0</v>
      </c>
      <c r="AN445">
        <v>0</v>
      </c>
      <c r="AO445">
        <v>0</v>
      </c>
      <c r="AP445" s="2">
        <v>42831</v>
      </c>
      <c r="AQ445" t="s">
        <v>72</v>
      </c>
      <c r="AR445" t="s">
        <v>72</v>
      </c>
      <c r="AS445">
        <v>446</v>
      </c>
      <c r="AT445" s="4">
        <v>42781</v>
      </c>
      <c r="AU445" t="s">
        <v>73</v>
      </c>
      <c r="AV445">
        <v>446</v>
      </c>
      <c r="AW445" s="4">
        <v>42781</v>
      </c>
      <c r="BD445">
        <v>0</v>
      </c>
      <c r="BN445" t="s">
        <v>74</v>
      </c>
    </row>
    <row r="446" spans="1:66">
      <c r="A446">
        <v>100622</v>
      </c>
      <c r="B446" t="s">
        <v>161</v>
      </c>
      <c r="C446" s="1">
        <v>43300101</v>
      </c>
      <c r="D446" t="s">
        <v>67</v>
      </c>
      <c r="H446" t="str">
        <f t="shared" si="55"/>
        <v>01681100150</v>
      </c>
      <c r="I446" t="str">
        <f t="shared" si="55"/>
        <v>01681100150</v>
      </c>
      <c r="K446" t="str">
        <f>""</f>
        <v/>
      </c>
      <c r="M446" t="s">
        <v>68</v>
      </c>
      <c r="N446" t="str">
        <f t="shared" si="56"/>
        <v>FOR</v>
      </c>
      <c r="O446" t="s">
        <v>69</v>
      </c>
      <c r="P446" t="s">
        <v>75</v>
      </c>
      <c r="Q446">
        <v>2016</v>
      </c>
      <c r="R446" s="4">
        <v>42513</v>
      </c>
      <c r="S446" s="2">
        <v>42515</v>
      </c>
      <c r="T446" s="2">
        <v>42514</v>
      </c>
      <c r="U446" s="4">
        <v>42574</v>
      </c>
      <c r="V446" t="s">
        <v>71</v>
      </c>
      <c r="W446" t="str">
        <f>"          VP  003119"</f>
        <v xml:space="preserve">          VP  003119</v>
      </c>
      <c r="X446" s="1">
        <v>4270</v>
      </c>
      <c r="Y446">
        <v>0</v>
      </c>
      <c r="Z446" s="5">
        <v>3500</v>
      </c>
      <c r="AA446" s="3">
        <v>207</v>
      </c>
      <c r="AB446" s="5">
        <v>724500</v>
      </c>
      <c r="AC446" s="1">
        <v>3500</v>
      </c>
      <c r="AD446">
        <v>207</v>
      </c>
      <c r="AE446" s="1">
        <v>724500</v>
      </c>
      <c r="AF446">
        <v>0</v>
      </c>
      <c r="AJ446">
        <v>0</v>
      </c>
      <c r="AK446">
        <v>0</v>
      </c>
      <c r="AL446">
        <v>0</v>
      </c>
      <c r="AM446">
        <v>0</v>
      </c>
      <c r="AN446">
        <v>0</v>
      </c>
      <c r="AO446">
        <v>0</v>
      </c>
      <c r="AP446" s="2">
        <v>42831</v>
      </c>
      <c r="AQ446" t="s">
        <v>72</v>
      </c>
      <c r="AR446" t="s">
        <v>72</v>
      </c>
      <c r="AS446">
        <v>446</v>
      </c>
      <c r="AT446" s="4">
        <v>42781</v>
      </c>
      <c r="AU446" t="s">
        <v>73</v>
      </c>
      <c r="AV446">
        <v>446</v>
      </c>
      <c r="AW446" s="4">
        <v>42781</v>
      </c>
      <c r="BD446">
        <v>0</v>
      </c>
      <c r="BN446" t="s">
        <v>74</v>
      </c>
    </row>
    <row r="447" spans="1:66">
      <c r="A447">
        <v>100622</v>
      </c>
      <c r="B447" t="s">
        <v>161</v>
      </c>
      <c r="C447" s="1">
        <v>43300101</v>
      </c>
      <c r="D447" t="s">
        <v>67</v>
      </c>
      <c r="H447" t="str">
        <f t="shared" si="55"/>
        <v>01681100150</v>
      </c>
      <c r="I447" t="str">
        <f t="shared" si="55"/>
        <v>01681100150</v>
      </c>
      <c r="K447" t="str">
        <f>""</f>
        <v/>
      </c>
      <c r="M447" t="s">
        <v>68</v>
      </c>
      <c r="N447" t="str">
        <f t="shared" si="56"/>
        <v>FOR</v>
      </c>
      <c r="O447" t="s">
        <v>69</v>
      </c>
      <c r="P447" t="s">
        <v>75</v>
      </c>
      <c r="Q447">
        <v>2016</v>
      </c>
      <c r="R447" s="4">
        <v>42657</v>
      </c>
      <c r="S447" s="2">
        <v>42664</v>
      </c>
      <c r="T447" s="2">
        <v>42662</v>
      </c>
      <c r="U447" s="4">
        <v>42722</v>
      </c>
      <c r="V447" t="s">
        <v>71</v>
      </c>
      <c r="W447" t="str">
        <f>"          VP  006011"</f>
        <v xml:space="preserve">          VP  006011</v>
      </c>
      <c r="X447" s="1">
        <v>2562</v>
      </c>
      <c r="Y447">
        <v>0</v>
      </c>
      <c r="Z447" s="5">
        <v>2100</v>
      </c>
      <c r="AA447" s="3">
        <v>59</v>
      </c>
      <c r="AB447" s="5">
        <v>123900</v>
      </c>
      <c r="AC447" s="1">
        <v>2100</v>
      </c>
      <c r="AD447">
        <v>59</v>
      </c>
      <c r="AE447" s="1">
        <v>123900</v>
      </c>
      <c r="AF447">
        <v>0</v>
      </c>
      <c r="AJ447">
        <v>0</v>
      </c>
      <c r="AK447">
        <v>0</v>
      </c>
      <c r="AL447">
        <v>0</v>
      </c>
      <c r="AM447">
        <v>0</v>
      </c>
      <c r="AN447">
        <v>0</v>
      </c>
      <c r="AO447">
        <v>0</v>
      </c>
      <c r="AP447" s="2">
        <v>42831</v>
      </c>
      <c r="AQ447" t="s">
        <v>72</v>
      </c>
      <c r="AR447" t="s">
        <v>72</v>
      </c>
      <c r="AS447">
        <v>446</v>
      </c>
      <c r="AT447" s="4">
        <v>42781</v>
      </c>
      <c r="AU447" t="s">
        <v>73</v>
      </c>
      <c r="AV447">
        <v>446</v>
      </c>
      <c r="AW447" s="4">
        <v>42781</v>
      </c>
      <c r="BD447">
        <v>0</v>
      </c>
      <c r="BN447" t="s">
        <v>74</v>
      </c>
    </row>
    <row r="448" spans="1:66">
      <c r="A448">
        <v>100630</v>
      </c>
      <c r="B448" t="s">
        <v>162</v>
      </c>
      <c r="C448" s="1">
        <v>43300101</v>
      </c>
      <c r="D448" t="s">
        <v>67</v>
      </c>
      <c r="H448" t="str">
        <f t="shared" ref="H448:I455" si="57">"05688870483"</f>
        <v>05688870483</v>
      </c>
      <c r="I448" t="str">
        <f t="shared" si="57"/>
        <v>05688870483</v>
      </c>
      <c r="K448" t="str">
        <f>""</f>
        <v/>
      </c>
      <c r="M448" t="s">
        <v>68</v>
      </c>
      <c r="N448" t="str">
        <f t="shared" si="56"/>
        <v>FOR</v>
      </c>
      <c r="O448" t="s">
        <v>69</v>
      </c>
      <c r="P448" t="s">
        <v>75</v>
      </c>
      <c r="Q448">
        <v>2016</v>
      </c>
      <c r="R448" s="4">
        <v>42506</v>
      </c>
      <c r="S448" s="2">
        <v>42516</v>
      </c>
      <c r="T448" s="2">
        <v>42507</v>
      </c>
      <c r="U448" s="4">
        <v>42567</v>
      </c>
      <c r="V448" t="s">
        <v>71</v>
      </c>
      <c r="W448" t="str">
        <f>"              904654"</f>
        <v xml:space="preserve">              904654</v>
      </c>
      <c r="X448" s="1">
        <v>8972.7999999999993</v>
      </c>
      <c r="Y448">
        <v>0</v>
      </c>
      <c r="Z448" s="5">
        <v>7354.75</v>
      </c>
      <c r="AA448" s="3">
        <v>207</v>
      </c>
      <c r="AB448" s="5">
        <v>1522433.25</v>
      </c>
      <c r="AC448" s="1">
        <v>7354.75</v>
      </c>
      <c r="AD448">
        <v>207</v>
      </c>
      <c r="AE448" s="1">
        <v>1522433.25</v>
      </c>
      <c r="AF448">
        <v>0</v>
      </c>
      <c r="AJ448">
        <v>0</v>
      </c>
      <c r="AK448">
        <v>0</v>
      </c>
      <c r="AL448">
        <v>0</v>
      </c>
      <c r="AM448">
        <v>0</v>
      </c>
      <c r="AN448">
        <v>0</v>
      </c>
      <c r="AO448">
        <v>0</v>
      </c>
      <c r="AP448" s="2">
        <v>42831</v>
      </c>
      <c r="AQ448" t="s">
        <v>72</v>
      </c>
      <c r="AR448" t="s">
        <v>72</v>
      </c>
      <c r="AS448">
        <v>321</v>
      </c>
      <c r="AT448" s="4">
        <v>42774</v>
      </c>
      <c r="AU448" t="s">
        <v>73</v>
      </c>
      <c r="AV448">
        <v>321</v>
      </c>
      <c r="AW448" s="4">
        <v>42774</v>
      </c>
      <c r="BD448">
        <v>0</v>
      </c>
      <c r="BN448" t="s">
        <v>74</v>
      </c>
    </row>
    <row r="449" spans="1:66">
      <c r="A449">
        <v>100630</v>
      </c>
      <c r="B449" t="s">
        <v>162</v>
      </c>
      <c r="C449" s="1">
        <v>43300101</v>
      </c>
      <c r="D449" t="s">
        <v>67</v>
      </c>
      <c r="H449" t="str">
        <f t="shared" si="57"/>
        <v>05688870483</v>
      </c>
      <c r="I449" t="str">
        <f t="shared" si="57"/>
        <v>05688870483</v>
      </c>
      <c r="K449" t="str">
        <f>""</f>
        <v/>
      </c>
      <c r="M449" t="s">
        <v>68</v>
      </c>
      <c r="N449" t="str">
        <f t="shared" si="56"/>
        <v>FOR</v>
      </c>
      <c r="O449" t="s">
        <v>69</v>
      </c>
      <c r="P449" t="s">
        <v>75</v>
      </c>
      <c r="Q449">
        <v>2016</v>
      </c>
      <c r="R449" s="4">
        <v>42515</v>
      </c>
      <c r="S449" s="2">
        <v>42522</v>
      </c>
      <c r="T449" s="2">
        <v>42516</v>
      </c>
      <c r="U449" s="4">
        <v>42576</v>
      </c>
      <c r="V449" t="s">
        <v>71</v>
      </c>
      <c r="W449" t="str">
        <f>"              905020"</f>
        <v xml:space="preserve">              905020</v>
      </c>
      <c r="X449">
        <v>226.92</v>
      </c>
      <c r="Y449">
        <v>0</v>
      </c>
      <c r="Z449" s="5">
        <v>186</v>
      </c>
      <c r="AA449" s="3">
        <v>198</v>
      </c>
      <c r="AB449" s="5">
        <v>36828</v>
      </c>
      <c r="AC449">
        <v>186</v>
      </c>
      <c r="AD449">
        <v>198</v>
      </c>
      <c r="AE449" s="1">
        <v>36828</v>
      </c>
      <c r="AF449">
        <v>0</v>
      </c>
      <c r="AJ449">
        <v>0</v>
      </c>
      <c r="AK449">
        <v>0</v>
      </c>
      <c r="AL449">
        <v>0</v>
      </c>
      <c r="AM449">
        <v>0</v>
      </c>
      <c r="AN449">
        <v>0</v>
      </c>
      <c r="AO449">
        <v>0</v>
      </c>
      <c r="AP449" s="2">
        <v>42831</v>
      </c>
      <c r="AQ449" t="s">
        <v>72</v>
      </c>
      <c r="AR449" t="s">
        <v>72</v>
      </c>
      <c r="AS449">
        <v>321</v>
      </c>
      <c r="AT449" s="4">
        <v>42774</v>
      </c>
      <c r="AU449" t="s">
        <v>73</v>
      </c>
      <c r="AV449">
        <v>321</v>
      </c>
      <c r="AW449" s="4">
        <v>42774</v>
      </c>
      <c r="BD449">
        <v>0</v>
      </c>
      <c r="BN449" t="s">
        <v>74</v>
      </c>
    </row>
    <row r="450" spans="1:66">
      <c r="A450">
        <v>100630</v>
      </c>
      <c r="B450" t="s">
        <v>162</v>
      </c>
      <c r="C450" s="1">
        <v>43300101</v>
      </c>
      <c r="D450" t="s">
        <v>67</v>
      </c>
      <c r="H450" t="str">
        <f t="shared" si="57"/>
        <v>05688870483</v>
      </c>
      <c r="I450" t="str">
        <f t="shared" si="57"/>
        <v>05688870483</v>
      </c>
      <c r="K450" t="str">
        <f>""</f>
        <v/>
      </c>
      <c r="M450" t="s">
        <v>68</v>
      </c>
      <c r="N450" t="str">
        <f t="shared" si="56"/>
        <v>FOR</v>
      </c>
      <c r="O450" t="s">
        <v>69</v>
      </c>
      <c r="P450" t="s">
        <v>75</v>
      </c>
      <c r="Q450">
        <v>2016</v>
      </c>
      <c r="R450" s="4">
        <v>42541</v>
      </c>
      <c r="S450" s="2">
        <v>42543</v>
      </c>
      <c r="T450" s="2">
        <v>42542</v>
      </c>
      <c r="U450" s="4">
        <v>42602</v>
      </c>
      <c r="V450" t="s">
        <v>71</v>
      </c>
      <c r="W450" t="str">
        <f>"              905923"</f>
        <v xml:space="preserve">              905923</v>
      </c>
      <c r="X450" s="1">
        <v>1767.78</v>
      </c>
      <c r="Y450">
        <v>0</v>
      </c>
      <c r="Z450" s="5">
        <v>1449</v>
      </c>
      <c r="AA450" s="3">
        <v>191</v>
      </c>
      <c r="AB450" s="5">
        <v>276759</v>
      </c>
      <c r="AC450" s="1">
        <v>1449</v>
      </c>
      <c r="AD450">
        <v>191</v>
      </c>
      <c r="AE450" s="1">
        <v>276759</v>
      </c>
      <c r="AF450">
        <v>0</v>
      </c>
      <c r="AJ450">
        <v>0</v>
      </c>
      <c r="AK450">
        <v>0</v>
      </c>
      <c r="AL450">
        <v>0</v>
      </c>
      <c r="AM450">
        <v>0</v>
      </c>
      <c r="AN450">
        <v>0</v>
      </c>
      <c r="AO450">
        <v>0</v>
      </c>
      <c r="AP450" s="2">
        <v>42831</v>
      </c>
      <c r="AQ450" t="s">
        <v>72</v>
      </c>
      <c r="AR450" t="s">
        <v>72</v>
      </c>
      <c r="AS450">
        <v>622</v>
      </c>
      <c r="AT450" s="4">
        <v>42793</v>
      </c>
      <c r="AU450" t="s">
        <v>73</v>
      </c>
      <c r="AV450">
        <v>622</v>
      </c>
      <c r="AW450" s="4">
        <v>42793</v>
      </c>
      <c r="BD450">
        <v>0</v>
      </c>
      <c r="BN450" t="s">
        <v>74</v>
      </c>
    </row>
    <row r="451" spans="1:66">
      <c r="A451">
        <v>100630</v>
      </c>
      <c r="B451" t="s">
        <v>162</v>
      </c>
      <c r="C451" s="1">
        <v>43300101</v>
      </c>
      <c r="D451" t="s">
        <v>67</v>
      </c>
      <c r="H451" t="str">
        <f t="shared" si="57"/>
        <v>05688870483</v>
      </c>
      <c r="I451" t="str">
        <f t="shared" si="57"/>
        <v>05688870483</v>
      </c>
      <c r="K451" t="str">
        <f>""</f>
        <v/>
      </c>
      <c r="M451" t="s">
        <v>68</v>
      </c>
      <c r="N451" t="str">
        <f t="shared" si="56"/>
        <v>FOR</v>
      </c>
      <c r="O451" t="s">
        <v>69</v>
      </c>
      <c r="P451" t="s">
        <v>75</v>
      </c>
      <c r="Q451">
        <v>2016</v>
      </c>
      <c r="R451" s="4">
        <v>42564</v>
      </c>
      <c r="S451" s="2">
        <v>42571</v>
      </c>
      <c r="T451" s="2">
        <v>42567</v>
      </c>
      <c r="U451" s="4">
        <v>42627</v>
      </c>
      <c r="V451" t="s">
        <v>71</v>
      </c>
      <c r="W451" t="str">
        <f>"              906745"</f>
        <v xml:space="preserve">              906745</v>
      </c>
      <c r="X451" s="1">
        <v>2272.86</v>
      </c>
      <c r="Y451">
        <v>0</v>
      </c>
      <c r="Z451" s="5">
        <v>1863</v>
      </c>
      <c r="AA451" s="3">
        <v>166</v>
      </c>
      <c r="AB451" s="5">
        <v>309258</v>
      </c>
      <c r="AC451" s="1">
        <v>1863</v>
      </c>
      <c r="AD451">
        <v>166</v>
      </c>
      <c r="AE451" s="1">
        <v>309258</v>
      </c>
      <c r="AF451">
        <v>0</v>
      </c>
      <c r="AJ451">
        <v>0</v>
      </c>
      <c r="AK451">
        <v>0</v>
      </c>
      <c r="AL451">
        <v>0</v>
      </c>
      <c r="AM451">
        <v>0</v>
      </c>
      <c r="AN451">
        <v>0</v>
      </c>
      <c r="AO451">
        <v>0</v>
      </c>
      <c r="AP451" s="2">
        <v>42831</v>
      </c>
      <c r="AQ451" t="s">
        <v>72</v>
      </c>
      <c r="AR451" t="s">
        <v>72</v>
      </c>
      <c r="AS451">
        <v>622</v>
      </c>
      <c r="AT451" s="4">
        <v>42793</v>
      </c>
      <c r="AU451" t="s">
        <v>73</v>
      </c>
      <c r="AV451">
        <v>622</v>
      </c>
      <c r="AW451" s="4">
        <v>42793</v>
      </c>
      <c r="BD451">
        <v>0</v>
      </c>
      <c r="BN451" t="s">
        <v>74</v>
      </c>
    </row>
    <row r="452" spans="1:66">
      <c r="A452">
        <v>100630</v>
      </c>
      <c r="B452" t="s">
        <v>162</v>
      </c>
      <c r="C452" s="1">
        <v>43300101</v>
      </c>
      <c r="D452" t="s">
        <v>67</v>
      </c>
      <c r="H452" t="str">
        <f t="shared" si="57"/>
        <v>05688870483</v>
      </c>
      <c r="I452" t="str">
        <f t="shared" si="57"/>
        <v>05688870483</v>
      </c>
      <c r="K452" t="str">
        <f>""</f>
        <v/>
      </c>
      <c r="M452" t="s">
        <v>68</v>
      </c>
      <c r="N452" t="str">
        <f t="shared" si="56"/>
        <v>FOR</v>
      </c>
      <c r="O452" t="s">
        <v>69</v>
      </c>
      <c r="P452" t="s">
        <v>75</v>
      </c>
      <c r="Q452">
        <v>2016</v>
      </c>
      <c r="R452" s="4">
        <v>42571</v>
      </c>
      <c r="S452" s="2">
        <v>42577</v>
      </c>
      <c r="T452" s="2">
        <v>42572</v>
      </c>
      <c r="U452" s="4">
        <v>42632</v>
      </c>
      <c r="V452" t="s">
        <v>71</v>
      </c>
      <c r="W452" t="str">
        <f>"              907027"</f>
        <v xml:space="preserve">              907027</v>
      </c>
      <c r="X452" s="1">
        <v>4454.59</v>
      </c>
      <c r="Y452">
        <v>0</v>
      </c>
      <c r="Z452" s="5">
        <v>3651.3</v>
      </c>
      <c r="AA452" s="3">
        <v>161</v>
      </c>
      <c r="AB452" s="5">
        <v>587859.30000000005</v>
      </c>
      <c r="AC452" s="1">
        <v>3651.3</v>
      </c>
      <c r="AD452">
        <v>161</v>
      </c>
      <c r="AE452" s="1">
        <v>587859.30000000005</v>
      </c>
      <c r="AF452">
        <v>0</v>
      </c>
      <c r="AJ452">
        <v>0</v>
      </c>
      <c r="AK452">
        <v>0</v>
      </c>
      <c r="AL452">
        <v>0</v>
      </c>
      <c r="AM452">
        <v>0</v>
      </c>
      <c r="AN452">
        <v>0</v>
      </c>
      <c r="AO452">
        <v>0</v>
      </c>
      <c r="AP452" s="2">
        <v>42831</v>
      </c>
      <c r="AQ452" t="s">
        <v>72</v>
      </c>
      <c r="AR452" t="s">
        <v>72</v>
      </c>
      <c r="AS452">
        <v>622</v>
      </c>
      <c r="AT452" s="4">
        <v>42793</v>
      </c>
      <c r="AU452" t="s">
        <v>73</v>
      </c>
      <c r="AV452">
        <v>622</v>
      </c>
      <c r="AW452" s="4">
        <v>42793</v>
      </c>
      <c r="BD452">
        <v>0</v>
      </c>
      <c r="BN452" t="s">
        <v>74</v>
      </c>
    </row>
    <row r="453" spans="1:66">
      <c r="A453">
        <v>100630</v>
      </c>
      <c r="B453" t="s">
        <v>162</v>
      </c>
      <c r="C453" s="1">
        <v>43300101</v>
      </c>
      <c r="D453" t="s">
        <v>67</v>
      </c>
      <c r="H453" t="str">
        <f t="shared" si="57"/>
        <v>05688870483</v>
      </c>
      <c r="I453" t="str">
        <f t="shared" si="57"/>
        <v>05688870483</v>
      </c>
      <c r="K453" t="str">
        <f>""</f>
        <v/>
      </c>
      <c r="M453" t="s">
        <v>68</v>
      </c>
      <c r="N453" t="str">
        <f t="shared" si="56"/>
        <v>FOR</v>
      </c>
      <c r="O453" t="s">
        <v>69</v>
      </c>
      <c r="P453" t="s">
        <v>75</v>
      </c>
      <c r="Q453">
        <v>2016</v>
      </c>
      <c r="R453" s="4">
        <v>42571</v>
      </c>
      <c r="S453" s="2">
        <v>42577</v>
      </c>
      <c r="T453" s="2">
        <v>42572</v>
      </c>
      <c r="U453" s="4">
        <v>42632</v>
      </c>
      <c r="V453" t="s">
        <v>71</v>
      </c>
      <c r="W453" t="str">
        <f>"              907028"</f>
        <v xml:space="preserve">              907028</v>
      </c>
      <c r="X453">
        <v>526.13</v>
      </c>
      <c r="Y453">
        <v>0</v>
      </c>
      <c r="Z453" s="5">
        <v>431.25</v>
      </c>
      <c r="AA453" s="3">
        <v>161</v>
      </c>
      <c r="AB453" s="5">
        <v>69431.25</v>
      </c>
      <c r="AC453">
        <v>431.25</v>
      </c>
      <c r="AD453">
        <v>161</v>
      </c>
      <c r="AE453" s="1">
        <v>69431.25</v>
      </c>
      <c r="AF453">
        <v>0</v>
      </c>
      <c r="AJ453">
        <v>0</v>
      </c>
      <c r="AK453">
        <v>0</v>
      </c>
      <c r="AL453">
        <v>0</v>
      </c>
      <c r="AM453">
        <v>0</v>
      </c>
      <c r="AN453">
        <v>0</v>
      </c>
      <c r="AO453">
        <v>0</v>
      </c>
      <c r="AP453" s="2">
        <v>42831</v>
      </c>
      <c r="AQ453" t="s">
        <v>72</v>
      </c>
      <c r="AR453" t="s">
        <v>72</v>
      </c>
      <c r="AS453">
        <v>622</v>
      </c>
      <c r="AT453" s="4">
        <v>42793</v>
      </c>
      <c r="AU453" t="s">
        <v>73</v>
      </c>
      <c r="AV453">
        <v>622</v>
      </c>
      <c r="AW453" s="4">
        <v>42793</v>
      </c>
      <c r="BD453">
        <v>0</v>
      </c>
      <c r="BN453" t="s">
        <v>74</v>
      </c>
    </row>
    <row r="454" spans="1:66">
      <c r="A454">
        <v>100630</v>
      </c>
      <c r="B454" t="s">
        <v>162</v>
      </c>
      <c r="C454" s="1">
        <v>43300101</v>
      </c>
      <c r="D454" t="s">
        <v>67</v>
      </c>
      <c r="H454" t="str">
        <f t="shared" si="57"/>
        <v>05688870483</v>
      </c>
      <c r="I454" t="str">
        <f t="shared" si="57"/>
        <v>05688870483</v>
      </c>
      <c r="K454" t="str">
        <f>""</f>
        <v/>
      </c>
      <c r="M454" t="s">
        <v>68</v>
      </c>
      <c r="N454" t="str">
        <f t="shared" si="56"/>
        <v>FOR</v>
      </c>
      <c r="O454" t="s">
        <v>69</v>
      </c>
      <c r="P454" t="s">
        <v>75</v>
      </c>
      <c r="Q454">
        <v>2016</v>
      </c>
      <c r="R454" s="4">
        <v>42572</v>
      </c>
      <c r="S454" s="2">
        <v>42577</v>
      </c>
      <c r="T454" s="2">
        <v>42576</v>
      </c>
      <c r="U454" s="4">
        <v>42636</v>
      </c>
      <c r="V454" t="s">
        <v>71</v>
      </c>
      <c r="W454" t="str">
        <f>"              907093"</f>
        <v xml:space="preserve">              907093</v>
      </c>
      <c r="X454">
        <v>420.9</v>
      </c>
      <c r="Y454">
        <v>0</v>
      </c>
      <c r="Z454" s="5">
        <v>345</v>
      </c>
      <c r="AA454" s="3">
        <v>157</v>
      </c>
      <c r="AB454" s="5">
        <v>54165</v>
      </c>
      <c r="AC454">
        <v>345</v>
      </c>
      <c r="AD454">
        <v>157</v>
      </c>
      <c r="AE454" s="1">
        <v>54165</v>
      </c>
      <c r="AF454">
        <v>0</v>
      </c>
      <c r="AJ454">
        <v>0</v>
      </c>
      <c r="AK454">
        <v>0</v>
      </c>
      <c r="AL454">
        <v>0</v>
      </c>
      <c r="AM454">
        <v>0</v>
      </c>
      <c r="AN454">
        <v>0</v>
      </c>
      <c r="AO454">
        <v>0</v>
      </c>
      <c r="AP454" s="2">
        <v>42831</v>
      </c>
      <c r="AQ454" t="s">
        <v>72</v>
      </c>
      <c r="AR454" t="s">
        <v>72</v>
      </c>
      <c r="AS454">
        <v>622</v>
      </c>
      <c r="AT454" s="4">
        <v>42793</v>
      </c>
      <c r="AU454" t="s">
        <v>73</v>
      </c>
      <c r="AV454">
        <v>622</v>
      </c>
      <c r="AW454" s="4">
        <v>42793</v>
      </c>
      <c r="BD454">
        <v>0</v>
      </c>
      <c r="BN454" t="s">
        <v>74</v>
      </c>
    </row>
    <row r="455" spans="1:66">
      <c r="A455">
        <v>100630</v>
      </c>
      <c r="B455" t="s">
        <v>162</v>
      </c>
      <c r="C455" s="1">
        <v>43300101</v>
      </c>
      <c r="D455" t="s">
        <v>67</v>
      </c>
      <c r="H455" t="str">
        <f t="shared" si="57"/>
        <v>05688870483</v>
      </c>
      <c r="I455" t="str">
        <f t="shared" si="57"/>
        <v>05688870483</v>
      </c>
      <c r="K455" t="str">
        <f>""</f>
        <v/>
      </c>
      <c r="M455" t="s">
        <v>68</v>
      </c>
      <c r="N455" t="str">
        <f t="shared" si="56"/>
        <v>FOR</v>
      </c>
      <c r="O455" t="s">
        <v>69</v>
      </c>
      <c r="P455" t="s">
        <v>75</v>
      </c>
      <c r="Q455">
        <v>2016</v>
      </c>
      <c r="R455" s="4">
        <v>42576</v>
      </c>
      <c r="S455" s="2">
        <v>42583</v>
      </c>
      <c r="T455" s="2">
        <v>42577</v>
      </c>
      <c r="U455" s="4">
        <v>42637</v>
      </c>
      <c r="V455" t="s">
        <v>71</v>
      </c>
      <c r="W455" t="str">
        <f>"              907210"</f>
        <v xml:space="preserve">              907210</v>
      </c>
      <c r="X455">
        <v>657.21</v>
      </c>
      <c r="Y455">
        <v>0</v>
      </c>
      <c r="Z455" s="5">
        <v>538.70000000000005</v>
      </c>
      <c r="AA455" s="3">
        <v>156</v>
      </c>
      <c r="AB455" s="5">
        <v>84037.2</v>
      </c>
      <c r="AC455">
        <v>538.70000000000005</v>
      </c>
      <c r="AD455">
        <v>156</v>
      </c>
      <c r="AE455" s="1">
        <v>84037.2</v>
      </c>
      <c r="AF455">
        <v>0</v>
      </c>
      <c r="AJ455">
        <v>0</v>
      </c>
      <c r="AK455">
        <v>0</v>
      </c>
      <c r="AL455">
        <v>0</v>
      </c>
      <c r="AM455">
        <v>0</v>
      </c>
      <c r="AN455">
        <v>0</v>
      </c>
      <c r="AO455">
        <v>0</v>
      </c>
      <c r="AP455" s="2">
        <v>42831</v>
      </c>
      <c r="AQ455" t="s">
        <v>72</v>
      </c>
      <c r="AR455" t="s">
        <v>72</v>
      </c>
      <c r="AS455">
        <v>622</v>
      </c>
      <c r="AT455" s="4">
        <v>42793</v>
      </c>
      <c r="AU455" t="s">
        <v>73</v>
      </c>
      <c r="AV455">
        <v>622</v>
      </c>
      <c r="AW455" s="4">
        <v>42793</v>
      </c>
      <c r="BD455">
        <v>0</v>
      </c>
      <c r="BN455" t="s">
        <v>74</v>
      </c>
    </row>
    <row r="456" spans="1:66">
      <c r="A456">
        <v>100636</v>
      </c>
      <c r="B456" t="s">
        <v>163</v>
      </c>
      <c r="C456" s="1">
        <v>43300101</v>
      </c>
      <c r="D456" t="s">
        <v>67</v>
      </c>
      <c r="H456" t="str">
        <f>"00397360488"</f>
        <v>00397360488</v>
      </c>
      <c r="I456" t="str">
        <f>"00397360488"</f>
        <v>00397360488</v>
      </c>
      <c r="K456" t="str">
        <f>""</f>
        <v/>
      </c>
      <c r="M456" t="s">
        <v>68</v>
      </c>
      <c r="N456" t="str">
        <f t="shared" si="56"/>
        <v>FOR</v>
      </c>
      <c r="O456" t="s">
        <v>69</v>
      </c>
      <c r="P456" t="s">
        <v>75</v>
      </c>
      <c r="Q456">
        <v>2016</v>
      </c>
      <c r="R456" s="4">
        <v>42689</v>
      </c>
      <c r="S456" s="2">
        <v>42696</v>
      </c>
      <c r="T456" s="2">
        <v>42692</v>
      </c>
      <c r="U456" s="4">
        <v>42752</v>
      </c>
      <c r="V456" t="s">
        <v>71</v>
      </c>
      <c r="W456" t="str">
        <f>"           0006583SP"</f>
        <v xml:space="preserve">           0006583SP</v>
      </c>
      <c r="X456" s="1">
        <v>1040.6600000000001</v>
      </c>
      <c r="Y456">
        <v>0</v>
      </c>
      <c r="Z456" s="5">
        <v>853</v>
      </c>
      <c r="AA456" s="3">
        <v>16</v>
      </c>
      <c r="AB456" s="5">
        <v>13648</v>
      </c>
      <c r="AC456">
        <v>853</v>
      </c>
      <c r="AD456">
        <v>16</v>
      </c>
      <c r="AE456" s="1">
        <v>13648</v>
      </c>
      <c r="AF456">
        <v>0</v>
      </c>
      <c r="AJ456">
        <v>0</v>
      </c>
      <c r="AK456">
        <v>0</v>
      </c>
      <c r="AL456">
        <v>0</v>
      </c>
      <c r="AM456">
        <v>0</v>
      </c>
      <c r="AN456">
        <v>0</v>
      </c>
      <c r="AO456">
        <v>0</v>
      </c>
      <c r="AP456" s="2">
        <v>42831</v>
      </c>
      <c r="AQ456" t="s">
        <v>72</v>
      </c>
      <c r="AR456" t="s">
        <v>72</v>
      </c>
      <c r="AS456">
        <v>258</v>
      </c>
      <c r="AT456" s="4">
        <v>42768</v>
      </c>
      <c r="AU456" t="s">
        <v>73</v>
      </c>
      <c r="AV456">
        <v>258</v>
      </c>
      <c r="AW456" s="4">
        <v>42768</v>
      </c>
      <c r="BD456">
        <v>0</v>
      </c>
      <c r="BN456" t="s">
        <v>74</v>
      </c>
    </row>
    <row r="457" spans="1:66">
      <c r="A457">
        <v>100636</v>
      </c>
      <c r="B457" t="s">
        <v>163</v>
      </c>
      <c r="C457" s="1">
        <v>43300101</v>
      </c>
      <c r="D457" t="s">
        <v>67</v>
      </c>
      <c r="H457" t="str">
        <f>"00397360488"</f>
        <v>00397360488</v>
      </c>
      <c r="I457" t="str">
        <f>"00397360488"</f>
        <v>00397360488</v>
      </c>
      <c r="K457" t="str">
        <f>""</f>
        <v/>
      </c>
      <c r="M457" t="s">
        <v>68</v>
      </c>
      <c r="N457" t="str">
        <f t="shared" si="56"/>
        <v>FOR</v>
      </c>
      <c r="O457" t="s">
        <v>69</v>
      </c>
      <c r="P457" t="s">
        <v>75</v>
      </c>
      <c r="Q457">
        <v>2016</v>
      </c>
      <c r="R457" s="4">
        <v>42724</v>
      </c>
      <c r="S457" s="2">
        <v>42727</v>
      </c>
      <c r="T457" s="2">
        <v>42726</v>
      </c>
      <c r="U457" s="4">
        <v>42786</v>
      </c>
      <c r="V457" t="s">
        <v>71</v>
      </c>
      <c r="W457" t="str">
        <f>"           0007454SP"</f>
        <v xml:space="preserve">           0007454SP</v>
      </c>
      <c r="X457">
        <v>196.79</v>
      </c>
      <c r="Y457">
        <v>0</v>
      </c>
      <c r="Z457" s="5">
        <v>161.30000000000001</v>
      </c>
      <c r="AA457" s="3">
        <v>-18</v>
      </c>
      <c r="AB457" s="5">
        <v>-2903.4</v>
      </c>
      <c r="AC457">
        <v>161.30000000000001</v>
      </c>
      <c r="AD457">
        <v>-18</v>
      </c>
      <c r="AE457" s="1">
        <v>-2903.4</v>
      </c>
      <c r="AF457">
        <v>0</v>
      </c>
      <c r="AJ457">
        <v>0</v>
      </c>
      <c r="AK457">
        <v>0</v>
      </c>
      <c r="AL457">
        <v>0</v>
      </c>
      <c r="AM457">
        <v>0</v>
      </c>
      <c r="AN457">
        <v>0</v>
      </c>
      <c r="AO457">
        <v>0</v>
      </c>
      <c r="AP457" s="2">
        <v>42831</v>
      </c>
      <c r="AQ457" t="s">
        <v>72</v>
      </c>
      <c r="AR457" t="s">
        <v>72</v>
      </c>
      <c r="AS457">
        <v>258</v>
      </c>
      <c r="AT457" s="4">
        <v>42768</v>
      </c>
      <c r="AV457">
        <v>258</v>
      </c>
      <c r="AW457" s="4">
        <v>42768</v>
      </c>
      <c r="BD457">
        <v>0</v>
      </c>
      <c r="BN457" t="s">
        <v>74</v>
      </c>
    </row>
    <row r="458" spans="1:66" hidden="1">
      <c r="A458">
        <v>100651</v>
      </c>
      <c r="B458" t="s">
        <v>164</v>
      </c>
      <c r="C458" s="1">
        <v>43300101</v>
      </c>
      <c r="D458" t="s">
        <v>67</v>
      </c>
      <c r="H458" t="str">
        <f t="shared" ref="H458:I460" si="58">"04356871212"</f>
        <v>04356871212</v>
      </c>
      <c r="I458" t="str">
        <f t="shared" si="58"/>
        <v>04356871212</v>
      </c>
      <c r="K458" t="str">
        <f>""</f>
        <v/>
      </c>
      <c r="M458" t="s">
        <v>68</v>
      </c>
      <c r="N458" t="str">
        <f t="shared" si="56"/>
        <v>FOR</v>
      </c>
      <c r="O458" t="s">
        <v>69</v>
      </c>
      <c r="P458" t="s">
        <v>82</v>
      </c>
      <c r="Q458">
        <v>2017</v>
      </c>
      <c r="R458" s="4">
        <v>42755</v>
      </c>
      <c r="S458" s="2">
        <v>42755</v>
      </c>
      <c r="T458" s="2">
        <v>42755</v>
      </c>
      <c r="U458" s="4">
        <v>42815</v>
      </c>
      <c r="V458" t="s">
        <v>71</v>
      </c>
      <c r="W458" t="str">
        <f>"                0120"</f>
        <v xml:space="preserve">                0120</v>
      </c>
      <c r="X458">
        <v>0</v>
      </c>
      <c r="Y458">
        <v>180</v>
      </c>
      <c r="Z458" s="3">
        <v>180</v>
      </c>
      <c r="AA458" s="3">
        <v>-57</v>
      </c>
      <c r="AB458" s="5">
        <v>-10260</v>
      </c>
      <c r="AC458">
        <v>180</v>
      </c>
      <c r="AD458">
        <v>-57</v>
      </c>
      <c r="AE458" s="1">
        <v>-10260</v>
      </c>
      <c r="AF458">
        <v>0</v>
      </c>
      <c r="AJ458">
        <v>180</v>
      </c>
      <c r="AK458">
        <v>180</v>
      </c>
      <c r="AL458">
        <v>180</v>
      </c>
      <c r="AM458">
        <v>180</v>
      </c>
      <c r="AN458">
        <v>180</v>
      </c>
      <c r="AO458">
        <v>180</v>
      </c>
      <c r="AP458" s="2">
        <v>42831</v>
      </c>
      <c r="AQ458" t="s">
        <v>72</v>
      </c>
      <c r="AR458" t="s">
        <v>72</v>
      </c>
      <c r="AS458">
        <v>33</v>
      </c>
      <c r="AT458" s="4">
        <v>42758</v>
      </c>
      <c r="AV458">
        <v>33</v>
      </c>
      <c r="AW458" s="4">
        <v>42758</v>
      </c>
      <c r="BD458">
        <v>0</v>
      </c>
      <c r="BN458" t="s">
        <v>74</v>
      </c>
    </row>
    <row r="459" spans="1:66" hidden="1">
      <c r="A459">
        <v>100651</v>
      </c>
      <c r="B459" t="s">
        <v>164</v>
      </c>
      <c r="C459" s="1">
        <v>43300101</v>
      </c>
      <c r="D459" t="s">
        <v>67</v>
      </c>
      <c r="H459" t="str">
        <f t="shared" si="58"/>
        <v>04356871212</v>
      </c>
      <c r="I459" t="str">
        <f t="shared" si="58"/>
        <v>04356871212</v>
      </c>
      <c r="K459" t="str">
        <f>""</f>
        <v/>
      </c>
      <c r="M459" t="s">
        <v>68</v>
      </c>
      <c r="N459" t="str">
        <f t="shared" si="56"/>
        <v>FOR</v>
      </c>
      <c r="O459" t="s">
        <v>69</v>
      </c>
      <c r="P459" t="s">
        <v>83</v>
      </c>
      <c r="Q459">
        <v>2017</v>
      </c>
      <c r="R459" s="4">
        <v>42786</v>
      </c>
      <c r="S459" s="2">
        <v>42787</v>
      </c>
      <c r="T459" s="2">
        <v>42787</v>
      </c>
      <c r="U459" s="4">
        <v>42847</v>
      </c>
      <c r="V459" t="s">
        <v>71</v>
      </c>
      <c r="W459" t="str">
        <f>"                0220"</f>
        <v xml:space="preserve">                0220</v>
      </c>
      <c r="X459">
        <v>0</v>
      </c>
      <c r="Y459">
        <v>180</v>
      </c>
      <c r="Z459" s="3">
        <v>180</v>
      </c>
      <c r="AA459" s="3">
        <v>-60</v>
      </c>
      <c r="AB459" s="5">
        <v>-10800</v>
      </c>
      <c r="AC459">
        <v>180</v>
      </c>
      <c r="AD459">
        <v>-60</v>
      </c>
      <c r="AE459" s="1">
        <v>-10800</v>
      </c>
      <c r="AF459">
        <v>0</v>
      </c>
      <c r="AJ459">
        <v>180</v>
      </c>
      <c r="AK459">
        <v>180</v>
      </c>
      <c r="AL459">
        <v>180</v>
      </c>
      <c r="AM459">
        <v>180</v>
      </c>
      <c r="AN459">
        <v>180</v>
      </c>
      <c r="AO459">
        <v>180</v>
      </c>
      <c r="AP459" s="2">
        <v>42831</v>
      </c>
      <c r="AQ459" t="s">
        <v>72</v>
      </c>
      <c r="AR459" t="s">
        <v>72</v>
      </c>
      <c r="AS459">
        <v>513</v>
      </c>
      <c r="AT459" s="4">
        <v>42787</v>
      </c>
      <c r="AV459">
        <v>513</v>
      </c>
      <c r="AW459" s="4">
        <v>42787</v>
      </c>
      <c r="BD459">
        <v>0</v>
      </c>
      <c r="BN459" t="s">
        <v>74</v>
      </c>
    </row>
    <row r="460" spans="1:66" hidden="1">
      <c r="A460">
        <v>100651</v>
      </c>
      <c r="B460" t="s">
        <v>164</v>
      </c>
      <c r="C460" s="1">
        <v>43300101</v>
      </c>
      <c r="D460" t="s">
        <v>67</v>
      </c>
      <c r="H460" t="str">
        <f t="shared" si="58"/>
        <v>04356871212</v>
      </c>
      <c r="I460" t="str">
        <f t="shared" si="58"/>
        <v>04356871212</v>
      </c>
      <c r="K460" t="str">
        <f>""</f>
        <v/>
      </c>
      <c r="M460" t="s">
        <v>68</v>
      </c>
      <c r="N460" t="str">
        <f t="shared" si="56"/>
        <v>FOR</v>
      </c>
      <c r="O460" t="s">
        <v>69</v>
      </c>
      <c r="P460" t="s">
        <v>84</v>
      </c>
      <c r="Q460">
        <v>2017</v>
      </c>
      <c r="R460" s="4">
        <v>42815</v>
      </c>
      <c r="S460" s="2">
        <v>42815</v>
      </c>
      <c r="T460" s="2">
        <v>42815</v>
      </c>
      <c r="U460" s="4">
        <v>42875</v>
      </c>
      <c r="V460" t="s">
        <v>71</v>
      </c>
      <c r="W460" t="str">
        <f>"                0321"</f>
        <v xml:space="preserve">                0321</v>
      </c>
      <c r="X460">
        <v>0</v>
      </c>
      <c r="Y460">
        <v>180</v>
      </c>
      <c r="Z460" s="3">
        <v>180</v>
      </c>
      <c r="AA460" s="3">
        <v>-60</v>
      </c>
      <c r="AB460" s="5">
        <v>-10800</v>
      </c>
      <c r="AC460">
        <v>180</v>
      </c>
      <c r="AD460">
        <v>-60</v>
      </c>
      <c r="AE460" s="1">
        <v>-10800</v>
      </c>
      <c r="AF460">
        <v>0</v>
      </c>
      <c r="AJ460">
        <v>180</v>
      </c>
      <c r="AK460">
        <v>180</v>
      </c>
      <c r="AL460">
        <v>180</v>
      </c>
      <c r="AM460">
        <v>180</v>
      </c>
      <c r="AN460">
        <v>180</v>
      </c>
      <c r="AO460">
        <v>180</v>
      </c>
      <c r="AP460" s="2">
        <v>42831</v>
      </c>
      <c r="AQ460" t="s">
        <v>72</v>
      </c>
      <c r="AR460" t="s">
        <v>72</v>
      </c>
      <c r="AS460">
        <v>810</v>
      </c>
      <c r="AT460" s="4">
        <v>42815</v>
      </c>
      <c r="AV460">
        <v>810</v>
      </c>
      <c r="AW460" s="4">
        <v>42815</v>
      </c>
      <c r="BD460">
        <v>0</v>
      </c>
      <c r="BN460" t="s">
        <v>74</v>
      </c>
    </row>
    <row r="461" spans="1:66">
      <c r="A461">
        <v>100655</v>
      </c>
      <c r="B461" t="s">
        <v>165</v>
      </c>
      <c r="C461" s="1">
        <v>43300101</v>
      </c>
      <c r="D461" t="s">
        <v>67</v>
      </c>
      <c r="H461" t="str">
        <f>"00100190610"</f>
        <v>00100190610</v>
      </c>
      <c r="I461" t="str">
        <f>"12971700153"</f>
        <v>12971700153</v>
      </c>
      <c r="K461" t="str">
        <f>""</f>
        <v/>
      </c>
      <c r="M461" t="s">
        <v>68</v>
      </c>
      <c r="N461" t="str">
        <f t="shared" si="56"/>
        <v>FOR</v>
      </c>
      <c r="O461" t="s">
        <v>69</v>
      </c>
      <c r="P461" t="s">
        <v>75</v>
      </c>
      <c r="Q461">
        <v>2016</v>
      </c>
      <c r="R461" s="4">
        <v>42432</v>
      </c>
      <c r="S461" s="2">
        <v>42446</v>
      </c>
      <c r="T461" s="2">
        <v>42446</v>
      </c>
      <c r="U461" s="4">
        <v>42506</v>
      </c>
      <c r="V461" t="s">
        <v>71</v>
      </c>
      <c r="W461" t="str">
        <f>"             0037663"</f>
        <v xml:space="preserve">             0037663</v>
      </c>
      <c r="X461">
        <v>541.67999999999995</v>
      </c>
      <c r="Y461">
        <v>0</v>
      </c>
      <c r="Z461" s="5">
        <v>444</v>
      </c>
      <c r="AA461" s="3">
        <v>268</v>
      </c>
      <c r="AB461" s="5">
        <v>118992</v>
      </c>
      <c r="AC461">
        <v>444</v>
      </c>
      <c r="AD461">
        <v>268</v>
      </c>
      <c r="AE461" s="1">
        <v>118992</v>
      </c>
      <c r="AF461">
        <v>0</v>
      </c>
      <c r="AJ461">
        <v>0</v>
      </c>
      <c r="AK461">
        <v>0</v>
      </c>
      <c r="AL461">
        <v>0</v>
      </c>
      <c r="AM461">
        <v>0</v>
      </c>
      <c r="AN461">
        <v>0</v>
      </c>
      <c r="AO461">
        <v>0</v>
      </c>
      <c r="AP461" s="2">
        <v>42831</v>
      </c>
      <c r="AQ461" t="s">
        <v>72</v>
      </c>
      <c r="AR461" t="s">
        <v>72</v>
      </c>
      <c r="AS461">
        <v>333</v>
      </c>
      <c r="AT461" s="4">
        <v>42774</v>
      </c>
      <c r="AU461" t="s">
        <v>73</v>
      </c>
      <c r="AV461">
        <v>333</v>
      </c>
      <c r="AW461" s="4">
        <v>42774</v>
      </c>
      <c r="BD461">
        <v>0</v>
      </c>
      <c r="BN461" t="s">
        <v>74</v>
      </c>
    </row>
    <row r="462" spans="1:66">
      <c r="A462">
        <v>100655</v>
      </c>
      <c r="B462" t="s">
        <v>165</v>
      </c>
      <c r="C462" s="1">
        <v>43300101</v>
      </c>
      <c r="D462" t="s">
        <v>67</v>
      </c>
      <c r="H462" t="str">
        <f>"00100190610"</f>
        <v>00100190610</v>
      </c>
      <c r="I462" t="str">
        <f>"12971700153"</f>
        <v>12971700153</v>
      </c>
      <c r="K462" t="str">
        <f>""</f>
        <v/>
      </c>
      <c r="M462" t="s">
        <v>68</v>
      </c>
      <c r="N462" t="str">
        <f t="shared" si="56"/>
        <v>FOR</v>
      </c>
      <c r="O462" t="s">
        <v>69</v>
      </c>
      <c r="P462" t="s">
        <v>75</v>
      </c>
      <c r="Q462">
        <v>2016</v>
      </c>
      <c r="R462" s="4">
        <v>42472</v>
      </c>
      <c r="S462" s="2">
        <v>42473</v>
      </c>
      <c r="T462" s="2">
        <v>42473</v>
      </c>
      <c r="U462" s="4">
        <v>42533</v>
      </c>
      <c r="V462" t="s">
        <v>71</v>
      </c>
      <c r="W462" t="str">
        <f>"             0062613"</f>
        <v xml:space="preserve">             0062613</v>
      </c>
      <c r="X462" s="1">
        <v>2108.16</v>
      </c>
      <c r="Y462">
        <v>0</v>
      </c>
      <c r="Z462" s="5">
        <v>1728</v>
      </c>
      <c r="AA462" s="3">
        <v>241</v>
      </c>
      <c r="AB462" s="5">
        <v>416448</v>
      </c>
      <c r="AC462" s="1">
        <v>1728</v>
      </c>
      <c r="AD462">
        <v>241</v>
      </c>
      <c r="AE462" s="1">
        <v>416448</v>
      </c>
      <c r="AF462">
        <v>0</v>
      </c>
      <c r="AJ462">
        <v>0</v>
      </c>
      <c r="AK462">
        <v>0</v>
      </c>
      <c r="AL462">
        <v>0</v>
      </c>
      <c r="AM462">
        <v>0</v>
      </c>
      <c r="AN462">
        <v>0</v>
      </c>
      <c r="AO462">
        <v>0</v>
      </c>
      <c r="AP462" s="2">
        <v>42831</v>
      </c>
      <c r="AQ462" t="s">
        <v>72</v>
      </c>
      <c r="AR462" t="s">
        <v>72</v>
      </c>
      <c r="AS462">
        <v>333</v>
      </c>
      <c r="AT462" s="4">
        <v>42774</v>
      </c>
      <c r="AU462" t="s">
        <v>73</v>
      </c>
      <c r="AV462">
        <v>333</v>
      </c>
      <c r="AW462" s="4">
        <v>42774</v>
      </c>
      <c r="BD462">
        <v>0</v>
      </c>
      <c r="BN462" t="s">
        <v>74</v>
      </c>
    </row>
    <row r="463" spans="1:66">
      <c r="A463">
        <v>100686</v>
      </c>
      <c r="B463" t="s">
        <v>166</v>
      </c>
      <c r="C463" s="1">
        <v>43500101</v>
      </c>
      <c r="D463" t="s">
        <v>98</v>
      </c>
      <c r="H463" t="str">
        <f>"LCCNLV76L21B963J"</f>
        <v>LCCNLV76L21B963J</v>
      </c>
      <c r="I463" t="str">
        <f>"03334340613"</f>
        <v>03334340613</v>
      </c>
      <c r="K463" t="str">
        <f>""</f>
        <v/>
      </c>
      <c r="M463" t="s">
        <v>68</v>
      </c>
      <c r="N463" t="str">
        <f t="shared" ref="N463:N468" si="59">"ALTPRO"</f>
        <v>ALTPRO</v>
      </c>
      <c r="O463" t="s">
        <v>116</v>
      </c>
      <c r="P463" t="s">
        <v>120</v>
      </c>
      <c r="Q463">
        <v>2017</v>
      </c>
      <c r="R463" s="4">
        <v>42737</v>
      </c>
      <c r="S463" s="2">
        <v>42745</v>
      </c>
      <c r="T463" s="2">
        <v>42745</v>
      </c>
      <c r="U463" s="4">
        <v>42805</v>
      </c>
      <c r="V463" t="s">
        <v>71</v>
      </c>
      <c r="W463" t="str">
        <f>"                1-PA"</f>
        <v xml:space="preserve">                1-PA</v>
      </c>
      <c r="X463" s="1">
        <v>2485.0300000000002</v>
      </c>
      <c r="Y463">
        <v>-497</v>
      </c>
      <c r="Z463" s="5">
        <v>1988.03</v>
      </c>
      <c r="AA463" s="3">
        <v>-40</v>
      </c>
      <c r="AB463" s="5">
        <v>-79521.2</v>
      </c>
      <c r="AC463" s="1">
        <v>1988.03</v>
      </c>
      <c r="AD463">
        <v>-40</v>
      </c>
      <c r="AE463" s="1">
        <v>-79521.2</v>
      </c>
      <c r="AF463">
        <v>0</v>
      </c>
      <c r="AJ463">
        <v>-497</v>
      </c>
      <c r="AK463" s="1">
        <v>1988.03</v>
      </c>
      <c r="AL463" s="1">
        <v>1988.03</v>
      </c>
      <c r="AM463">
        <v>-497</v>
      </c>
      <c r="AN463" s="1">
        <v>1988.03</v>
      </c>
      <c r="AO463" s="1">
        <v>1988.03</v>
      </c>
      <c r="AP463" s="2">
        <v>42831</v>
      </c>
      <c r="AQ463" t="s">
        <v>72</v>
      </c>
      <c r="AR463" t="s">
        <v>72</v>
      </c>
      <c r="AS463">
        <v>118</v>
      </c>
      <c r="AT463" s="4">
        <v>42765</v>
      </c>
      <c r="AV463">
        <v>118</v>
      </c>
      <c r="AW463" s="4">
        <v>42765</v>
      </c>
      <c r="BD463">
        <v>0</v>
      </c>
      <c r="BN463" t="s">
        <v>74</v>
      </c>
    </row>
    <row r="464" spans="1:66">
      <c r="A464">
        <v>100686</v>
      </c>
      <c r="B464" t="s">
        <v>166</v>
      </c>
      <c r="C464" s="1">
        <v>43500101</v>
      </c>
      <c r="D464" t="s">
        <v>98</v>
      </c>
      <c r="H464" t="str">
        <f>"LCCNLV76L21B963J"</f>
        <v>LCCNLV76L21B963J</v>
      </c>
      <c r="I464" t="str">
        <f>"03334340613"</f>
        <v>03334340613</v>
      </c>
      <c r="K464" t="str">
        <f>""</f>
        <v/>
      </c>
      <c r="M464" t="s">
        <v>68</v>
      </c>
      <c r="N464" t="str">
        <f t="shared" si="59"/>
        <v>ALTPRO</v>
      </c>
      <c r="O464" t="s">
        <v>116</v>
      </c>
      <c r="P464" t="s">
        <v>120</v>
      </c>
      <c r="Q464">
        <v>2017</v>
      </c>
      <c r="R464" s="4">
        <v>42773</v>
      </c>
      <c r="S464" s="2">
        <v>42774</v>
      </c>
      <c r="T464" s="2">
        <v>42773</v>
      </c>
      <c r="U464" s="4">
        <v>42833</v>
      </c>
      <c r="V464" t="s">
        <v>71</v>
      </c>
      <c r="W464" t="str">
        <f>"                2-PA"</f>
        <v xml:space="preserve">                2-PA</v>
      </c>
      <c r="X464" s="1">
        <v>2581.3200000000002</v>
      </c>
      <c r="Y464">
        <v>-516.26</v>
      </c>
      <c r="Z464" s="5">
        <v>2065.06</v>
      </c>
      <c r="AA464" s="3">
        <v>-57</v>
      </c>
      <c r="AB464" s="5">
        <v>-117708.42</v>
      </c>
      <c r="AC464" s="1">
        <v>2065.06</v>
      </c>
      <c r="AD464">
        <v>-57</v>
      </c>
      <c r="AE464" s="1">
        <v>-117708.42</v>
      </c>
      <c r="AF464">
        <v>0</v>
      </c>
      <c r="AJ464" s="1">
        <v>2065.06</v>
      </c>
      <c r="AK464" s="1">
        <v>2065.06</v>
      </c>
      <c r="AL464" s="1">
        <v>2065.06</v>
      </c>
      <c r="AM464" s="1">
        <v>2065.06</v>
      </c>
      <c r="AN464" s="1">
        <v>2065.06</v>
      </c>
      <c r="AO464" s="1">
        <v>2065.06</v>
      </c>
      <c r="AP464" s="2">
        <v>42831</v>
      </c>
      <c r="AQ464" t="s">
        <v>72</v>
      </c>
      <c r="AR464" t="s">
        <v>72</v>
      </c>
      <c r="AS464">
        <v>402</v>
      </c>
      <c r="AT464" s="4">
        <v>42776</v>
      </c>
      <c r="AV464">
        <v>402</v>
      </c>
      <c r="AW464" s="4">
        <v>42776</v>
      </c>
      <c r="BD464">
        <v>0</v>
      </c>
      <c r="BN464" t="s">
        <v>74</v>
      </c>
    </row>
    <row r="465" spans="1:66">
      <c r="A465">
        <v>100686</v>
      </c>
      <c r="B465" t="s">
        <v>166</v>
      </c>
      <c r="C465" s="1">
        <v>43500101</v>
      </c>
      <c r="D465" t="s">
        <v>98</v>
      </c>
      <c r="H465" t="str">
        <f>"LCCNLV76L21B963J"</f>
        <v>LCCNLV76L21B963J</v>
      </c>
      <c r="I465" t="str">
        <f>"03334340613"</f>
        <v>03334340613</v>
      </c>
      <c r="K465" t="str">
        <f>""</f>
        <v/>
      </c>
      <c r="M465" t="s">
        <v>68</v>
      </c>
      <c r="N465" t="str">
        <f t="shared" si="59"/>
        <v>ALTPRO</v>
      </c>
      <c r="O465" t="s">
        <v>116</v>
      </c>
      <c r="P465" t="s">
        <v>120</v>
      </c>
      <c r="Q465">
        <v>2017</v>
      </c>
      <c r="R465" s="4">
        <v>42795</v>
      </c>
      <c r="S465" s="2">
        <v>42797</v>
      </c>
      <c r="T465" s="2">
        <v>42796</v>
      </c>
      <c r="U465" s="4">
        <v>42856</v>
      </c>
      <c r="V465" t="s">
        <v>71</v>
      </c>
      <c r="W465" t="str">
        <f>"                3-PA"</f>
        <v xml:space="preserve">                3-PA</v>
      </c>
      <c r="X465" s="1">
        <v>2353.04</v>
      </c>
      <c r="Y465">
        <v>-470.61</v>
      </c>
      <c r="Z465" s="5">
        <v>1882.43</v>
      </c>
      <c r="AA465" s="3">
        <v>-59</v>
      </c>
      <c r="AB465" s="5">
        <v>-111063.37</v>
      </c>
      <c r="AC465" s="1">
        <v>1882.43</v>
      </c>
      <c r="AD465">
        <v>-59</v>
      </c>
      <c r="AE465" s="1">
        <v>-111063.37</v>
      </c>
      <c r="AF465">
        <v>0</v>
      </c>
      <c r="AJ465" s="1">
        <v>1882.43</v>
      </c>
      <c r="AK465" s="1">
        <v>1882.43</v>
      </c>
      <c r="AL465" s="1">
        <v>1882.43</v>
      </c>
      <c r="AM465" s="1">
        <v>1882.43</v>
      </c>
      <c r="AN465" s="1">
        <v>1882.43</v>
      </c>
      <c r="AO465" s="1">
        <v>1882.43</v>
      </c>
      <c r="AP465" s="2">
        <v>42831</v>
      </c>
      <c r="AQ465" t="s">
        <v>72</v>
      </c>
      <c r="AR465" t="s">
        <v>72</v>
      </c>
      <c r="AS465">
        <v>727</v>
      </c>
      <c r="AT465" s="4">
        <v>42797</v>
      </c>
      <c r="AV465">
        <v>727</v>
      </c>
      <c r="AW465" s="4">
        <v>42797</v>
      </c>
      <c r="BD465">
        <v>0</v>
      </c>
      <c r="BN465" t="s">
        <v>74</v>
      </c>
    </row>
    <row r="466" spans="1:66">
      <c r="A466">
        <v>100687</v>
      </c>
      <c r="B466" t="s">
        <v>167</v>
      </c>
      <c r="C466" s="1">
        <v>43500101</v>
      </c>
      <c r="D466" t="s">
        <v>98</v>
      </c>
      <c r="H466" t="str">
        <f>"RBNMRA73R46D761S"</f>
        <v>RBNMRA73R46D761S</v>
      </c>
      <c r="I466" t="str">
        <f>"01399960622"</f>
        <v>01399960622</v>
      </c>
      <c r="K466" t="str">
        <f>""</f>
        <v/>
      </c>
      <c r="M466" t="s">
        <v>68</v>
      </c>
      <c r="N466" t="str">
        <f t="shared" si="59"/>
        <v>ALTPRO</v>
      </c>
      <c r="O466" t="s">
        <v>116</v>
      </c>
      <c r="P466" t="s">
        <v>75</v>
      </c>
      <c r="Q466">
        <v>2017</v>
      </c>
      <c r="R466" s="4">
        <v>42744</v>
      </c>
      <c r="S466" s="2">
        <v>42747</v>
      </c>
      <c r="T466" s="2">
        <v>42745</v>
      </c>
      <c r="U466" s="4">
        <v>42805</v>
      </c>
      <c r="V466" t="s">
        <v>71</v>
      </c>
      <c r="W466" t="str">
        <f>"         FATTPA 1_17"</f>
        <v xml:space="preserve">         FATTPA 1_17</v>
      </c>
      <c r="X466" s="1">
        <v>2370.6</v>
      </c>
      <c r="Y466">
        <v>-474.12</v>
      </c>
      <c r="Z466" s="5">
        <v>1896.48</v>
      </c>
      <c r="AA466" s="3">
        <v>-40</v>
      </c>
      <c r="AB466" s="5">
        <v>-75859.199999999997</v>
      </c>
      <c r="AC466" s="1">
        <v>1896.48</v>
      </c>
      <c r="AD466">
        <v>-40</v>
      </c>
      <c r="AE466" s="1">
        <v>-75859.199999999997</v>
      </c>
      <c r="AF466">
        <v>0</v>
      </c>
      <c r="AJ466">
        <v>-474.12</v>
      </c>
      <c r="AK466" s="1">
        <v>1896.48</v>
      </c>
      <c r="AL466" s="1">
        <v>1896.48</v>
      </c>
      <c r="AM466">
        <v>-474.12</v>
      </c>
      <c r="AN466" s="1">
        <v>1896.48</v>
      </c>
      <c r="AO466" s="1">
        <v>1896.48</v>
      </c>
      <c r="AP466" s="2">
        <v>42831</v>
      </c>
      <c r="AQ466" t="s">
        <v>72</v>
      </c>
      <c r="AR466" t="s">
        <v>72</v>
      </c>
      <c r="AS466">
        <v>117</v>
      </c>
      <c r="AT466" s="4">
        <v>42765</v>
      </c>
      <c r="AV466">
        <v>117</v>
      </c>
      <c r="AW466" s="4">
        <v>42765</v>
      </c>
      <c r="BD466">
        <v>0</v>
      </c>
      <c r="BN466" t="s">
        <v>74</v>
      </c>
    </row>
    <row r="467" spans="1:66">
      <c r="A467">
        <v>100687</v>
      </c>
      <c r="B467" t="s">
        <v>167</v>
      </c>
      <c r="C467" s="1">
        <v>43500101</v>
      </c>
      <c r="D467" t="s">
        <v>98</v>
      </c>
      <c r="H467" t="str">
        <f>"RBNMRA73R46D761S"</f>
        <v>RBNMRA73R46D761S</v>
      </c>
      <c r="I467" t="str">
        <f>"01399960622"</f>
        <v>01399960622</v>
      </c>
      <c r="K467" t="str">
        <f>""</f>
        <v/>
      </c>
      <c r="M467" t="s">
        <v>68</v>
      </c>
      <c r="N467" t="str">
        <f t="shared" si="59"/>
        <v>ALTPRO</v>
      </c>
      <c r="O467" t="s">
        <v>116</v>
      </c>
      <c r="P467" t="s">
        <v>75</v>
      </c>
      <c r="Q467">
        <v>2017</v>
      </c>
      <c r="R467" s="4">
        <v>42775</v>
      </c>
      <c r="S467" s="2">
        <v>42775</v>
      </c>
      <c r="T467" s="2">
        <v>42775</v>
      </c>
      <c r="U467" s="4">
        <v>42835</v>
      </c>
      <c r="V467" t="s">
        <v>71</v>
      </c>
      <c r="W467" t="str">
        <f>"         FATTPA 2_17"</f>
        <v xml:space="preserve">         FATTPA 2_17</v>
      </c>
      <c r="X467" s="1">
        <v>2634</v>
      </c>
      <c r="Y467">
        <v>-526.79999999999995</v>
      </c>
      <c r="Z467" s="5">
        <v>2107.1999999999998</v>
      </c>
      <c r="AA467" s="3">
        <v>-59</v>
      </c>
      <c r="AB467" s="5">
        <v>-124324.8</v>
      </c>
      <c r="AC467" s="1">
        <v>2107.1999999999998</v>
      </c>
      <c r="AD467">
        <v>-59</v>
      </c>
      <c r="AE467" s="1">
        <v>-124324.8</v>
      </c>
      <c r="AF467">
        <v>0</v>
      </c>
      <c r="AJ467" s="1">
        <v>2107.1999999999998</v>
      </c>
      <c r="AK467" s="1">
        <v>2107.1999999999998</v>
      </c>
      <c r="AL467" s="1">
        <v>2107.1999999999998</v>
      </c>
      <c r="AM467" s="1">
        <v>2107.1999999999998</v>
      </c>
      <c r="AN467" s="1">
        <v>2107.1999999999998</v>
      </c>
      <c r="AO467" s="1">
        <v>2107.1999999999998</v>
      </c>
      <c r="AP467" s="2">
        <v>42831</v>
      </c>
      <c r="AQ467" t="s">
        <v>72</v>
      </c>
      <c r="AR467" t="s">
        <v>72</v>
      </c>
      <c r="AS467">
        <v>401</v>
      </c>
      <c r="AT467" s="4">
        <v>42776</v>
      </c>
      <c r="AV467">
        <v>401</v>
      </c>
      <c r="AW467" s="4">
        <v>42776</v>
      </c>
      <c r="BD467">
        <v>0</v>
      </c>
      <c r="BN467" t="s">
        <v>74</v>
      </c>
    </row>
    <row r="468" spans="1:66">
      <c r="A468">
        <v>100687</v>
      </c>
      <c r="B468" t="s">
        <v>167</v>
      </c>
      <c r="C468" s="1">
        <v>43500101</v>
      </c>
      <c r="D468" t="s">
        <v>98</v>
      </c>
      <c r="H468" t="str">
        <f>"RBNMRA73R46D761S"</f>
        <v>RBNMRA73R46D761S</v>
      </c>
      <c r="I468" t="str">
        <f>"01399960622"</f>
        <v>01399960622</v>
      </c>
      <c r="K468" t="str">
        <f>""</f>
        <v/>
      </c>
      <c r="M468" t="s">
        <v>68</v>
      </c>
      <c r="N468" t="str">
        <f t="shared" si="59"/>
        <v>ALTPRO</v>
      </c>
      <c r="O468" t="s">
        <v>116</v>
      </c>
      <c r="P468" t="s">
        <v>75</v>
      </c>
      <c r="Q468">
        <v>2017</v>
      </c>
      <c r="R468" s="4">
        <v>42795</v>
      </c>
      <c r="S468" s="2">
        <v>42796</v>
      </c>
      <c r="T468" s="2">
        <v>42795</v>
      </c>
      <c r="U468" s="4">
        <v>42855</v>
      </c>
      <c r="V468" t="s">
        <v>71</v>
      </c>
      <c r="W468" t="str">
        <f>"         FATTPA 3_17"</f>
        <v xml:space="preserve">         FATTPA 3_17</v>
      </c>
      <c r="X468" s="1">
        <v>2528.64</v>
      </c>
      <c r="Y468">
        <v>-505.73</v>
      </c>
      <c r="Z468" s="5">
        <v>2022.91</v>
      </c>
      <c r="AA468" s="3">
        <v>-59</v>
      </c>
      <c r="AB468" s="5">
        <v>-119351.69</v>
      </c>
      <c r="AC468" s="1">
        <v>2022.91</v>
      </c>
      <c r="AD468">
        <v>-59</v>
      </c>
      <c r="AE468" s="1">
        <v>-119351.69</v>
      </c>
      <c r="AF468">
        <v>0</v>
      </c>
      <c r="AJ468" s="1">
        <v>2022.91</v>
      </c>
      <c r="AK468" s="1">
        <v>2022.91</v>
      </c>
      <c r="AL468" s="1">
        <v>2022.91</v>
      </c>
      <c r="AM468" s="1">
        <v>2022.91</v>
      </c>
      <c r="AN468" s="1">
        <v>2022.91</v>
      </c>
      <c r="AO468" s="1">
        <v>2022.91</v>
      </c>
      <c r="AP468" s="2">
        <v>42831</v>
      </c>
      <c r="AQ468" t="s">
        <v>72</v>
      </c>
      <c r="AR468" t="s">
        <v>72</v>
      </c>
      <c r="AS468">
        <v>699</v>
      </c>
      <c r="AT468" s="4">
        <v>42796</v>
      </c>
      <c r="AV468">
        <v>699</v>
      </c>
      <c r="AW468" s="4">
        <v>42796</v>
      </c>
      <c r="BD468">
        <v>0</v>
      </c>
      <c r="BN468" t="s">
        <v>74</v>
      </c>
    </row>
    <row r="469" spans="1:66">
      <c r="A469">
        <v>100695</v>
      </c>
      <c r="B469" t="s">
        <v>168</v>
      </c>
      <c r="C469" s="1">
        <v>43300101</v>
      </c>
      <c r="D469" t="s">
        <v>67</v>
      </c>
      <c r="H469" t="str">
        <f t="shared" ref="H469:I488" si="60">"00721920155"</f>
        <v>00721920155</v>
      </c>
      <c r="I469" t="str">
        <f t="shared" si="60"/>
        <v>00721920155</v>
      </c>
      <c r="K469" t="str">
        <f>""</f>
        <v/>
      </c>
      <c r="M469" t="s">
        <v>68</v>
      </c>
      <c r="N469" t="str">
        <f t="shared" ref="N469:N500" si="61">"FOR"</f>
        <v>FOR</v>
      </c>
      <c r="O469" t="s">
        <v>69</v>
      </c>
      <c r="P469" t="s">
        <v>75</v>
      </c>
      <c r="Q469">
        <v>2016</v>
      </c>
      <c r="R469" s="4">
        <v>42495</v>
      </c>
      <c r="S469" s="2">
        <v>42502</v>
      </c>
      <c r="T469" s="2">
        <v>42501</v>
      </c>
      <c r="U469" s="4">
        <v>42561</v>
      </c>
      <c r="V469" t="s">
        <v>71</v>
      </c>
      <c r="W469" t="str">
        <f>"          5840121194"</f>
        <v xml:space="preserve">          5840121194</v>
      </c>
      <c r="X469">
        <v>119.6</v>
      </c>
      <c r="Y469">
        <v>0</v>
      </c>
      <c r="Z469" s="5">
        <v>115</v>
      </c>
      <c r="AA469" s="3">
        <v>207</v>
      </c>
      <c r="AB469" s="5">
        <v>23805</v>
      </c>
      <c r="AC469">
        <v>115</v>
      </c>
      <c r="AD469">
        <v>207</v>
      </c>
      <c r="AE469" s="1">
        <v>23805</v>
      </c>
      <c r="AF469">
        <v>0</v>
      </c>
      <c r="AJ469">
        <v>0</v>
      </c>
      <c r="AK469">
        <v>0</v>
      </c>
      <c r="AL469">
        <v>0</v>
      </c>
      <c r="AM469">
        <v>0</v>
      </c>
      <c r="AN469">
        <v>0</v>
      </c>
      <c r="AO469">
        <v>0</v>
      </c>
      <c r="AP469" s="2">
        <v>42831</v>
      </c>
      <c r="AQ469" t="s">
        <v>72</v>
      </c>
      <c r="AR469" t="s">
        <v>72</v>
      </c>
      <c r="AS469">
        <v>239</v>
      </c>
      <c r="AT469" s="4">
        <v>42768</v>
      </c>
      <c r="AU469" t="s">
        <v>73</v>
      </c>
      <c r="AV469">
        <v>239</v>
      </c>
      <c r="AW469" s="4">
        <v>42768</v>
      </c>
      <c r="BD469">
        <v>0</v>
      </c>
      <c r="BN469" t="s">
        <v>74</v>
      </c>
    </row>
    <row r="470" spans="1:66">
      <c r="A470">
        <v>100695</v>
      </c>
      <c r="B470" t="s">
        <v>168</v>
      </c>
      <c r="C470" s="1">
        <v>43300101</v>
      </c>
      <c r="D470" t="s">
        <v>67</v>
      </c>
      <c r="H470" t="str">
        <f t="shared" si="60"/>
        <v>00721920155</v>
      </c>
      <c r="I470" t="str">
        <f t="shared" si="60"/>
        <v>00721920155</v>
      </c>
      <c r="K470" t="str">
        <f>""</f>
        <v/>
      </c>
      <c r="M470" t="s">
        <v>68</v>
      </c>
      <c r="N470" t="str">
        <f t="shared" si="61"/>
        <v>FOR</v>
      </c>
      <c r="O470" t="s">
        <v>69</v>
      </c>
      <c r="P470" t="s">
        <v>75</v>
      </c>
      <c r="Q470">
        <v>2016</v>
      </c>
      <c r="R470" s="4">
        <v>42496</v>
      </c>
      <c r="S470" s="2">
        <v>42502</v>
      </c>
      <c r="T470" s="2">
        <v>42501</v>
      </c>
      <c r="U470" s="4">
        <v>42561</v>
      </c>
      <c r="V470" t="s">
        <v>71</v>
      </c>
      <c r="W470" t="str">
        <f>"          5840121217"</f>
        <v xml:space="preserve">          5840121217</v>
      </c>
      <c r="X470">
        <v>119.6</v>
      </c>
      <c r="Y470">
        <v>0</v>
      </c>
      <c r="Z470" s="5">
        <v>115</v>
      </c>
      <c r="AA470" s="3">
        <v>207</v>
      </c>
      <c r="AB470" s="5">
        <v>23805</v>
      </c>
      <c r="AC470">
        <v>115</v>
      </c>
      <c r="AD470">
        <v>207</v>
      </c>
      <c r="AE470" s="1">
        <v>23805</v>
      </c>
      <c r="AF470">
        <v>0</v>
      </c>
      <c r="AJ470">
        <v>0</v>
      </c>
      <c r="AK470">
        <v>0</v>
      </c>
      <c r="AL470">
        <v>0</v>
      </c>
      <c r="AM470">
        <v>0</v>
      </c>
      <c r="AN470">
        <v>0</v>
      </c>
      <c r="AO470">
        <v>0</v>
      </c>
      <c r="AP470" s="2">
        <v>42831</v>
      </c>
      <c r="AQ470" t="s">
        <v>72</v>
      </c>
      <c r="AR470" t="s">
        <v>72</v>
      </c>
      <c r="AS470">
        <v>239</v>
      </c>
      <c r="AT470" s="4">
        <v>42768</v>
      </c>
      <c r="AU470" t="s">
        <v>73</v>
      </c>
      <c r="AV470">
        <v>239</v>
      </c>
      <c r="AW470" s="4">
        <v>42768</v>
      </c>
      <c r="BD470">
        <v>0</v>
      </c>
      <c r="BN470" t="s">
        <v>74</v>
      </c>
    </row>
    <row r="471" spans="1:66">
      <c r="A471">
        <v>100695</v>
      </c>
      <c r="B471" t="s">
        <v>168</v>
      </c>
      <c r="C471" s="1">
        <v>43300101</v>
      </c>
      <c r="D471" t="s">
        <v>67</v>
      </c>
      <c r="H471" t="str">
        <f t="shared" si="60"/>
        <v>00721920155</v>
      </c>
      <c r="I471" t="str">
        <f t="shared" si="60"/>
        <v>00721920155</v>
      </c>
      <c r="K471" t="str">
        <f>""</f>
        <v/>
      </c>
      <c r="M471" t="s">
        <v>68</v>
      </c>
      <c r="N471" t="str">
        <f t="shared" si="61"/>
        <v>FOR</v>
      </c>
      <c r="O471" t="s">
        <v>69</v>
      </c>
      <c r="P471" t="s">
        <v>75</v>
      </c>
      <c r="Q471">
        <v>2016</v>
      </c>
      <c r="R471" s="4">
        <v>42496</v>
      </c>
      <c r="S471" s="2">
        <v>42502</v>
      </c>
      <c r="T471" s="2">
        <v>42501</v>
      </c>
      <c r="U471" s="4">
        <v>42561</v>
      </c>
      <c r="V471" t="s">
        <v>71</v>
      </c>
      <c r="W471" t="str">
        <f>"          5840121222"</f>
        <v xml:space="preserve">          5840121222</v>
      </c>
      <c r="X471">
        <v>119.6</v>
      </c>
      <c r="Y471">
        <v>0</v>
      </c>
      <c r="Z471" s="5">
        <v>115</v>
      </c>
      <c r="AA471" s="3">
        <v>207</v>
      </c>
      <c r="AB471" s="5">
        <v>23805</v>
      </c>
      <c r="AC471">
        <v>115</v>
      </c>
      <c r="AD471">
        <v>207</v>
      </c>
      <c r="AE471" s="1">
        <v>23805</v>
      </c>
      <c r="AF471">
        <v>0</v>
      </c>
      <c r="AJ471">
        <v>0</v>
      </c>
      <c r="AK471">
        <v>0</v>
      </c>
      <c r="AL471">
        <v>0</v>
      </c>
      <c r="AM471">
        <v>0</v>
      </c>
      <c r="AN471">
        <v>0</v>
      </c>
      <c r="AO471">
        <v>0</v>
      </c>
      <c r="AP471" s="2">
        <v>42831</v>
      </c>
      <c r="AQ471" t="s">
        <v>72</v>
      </c>
      <c r="AR471" t="s">
        <v>72</v>
      </c>
      <c r="AS471">
        <v>239</v>
      </c>
      <c r="AT471" s="4">
        <v>42768</v>
      </c>
      <c r="AU471" t="s">
        <v>73</v>
      </c>
      <c r="AV471">
        <v>239</v>
      </c>
      <c r="AW471" s="4">
        <v>42768</v>
      </c>
      <c r="BD471">
        <v>0</v>
      </c>
      <c r="BN471" t="s">
        <v>74</v>
      </c>
    </row>
    <row r="472" spans="1:66">
      <c r="A472">
        <v>100695</v>
      </c>
      <c r="B472" t="s">
        <v>168</v>
      </c>
      <c r="C472" s="1">
        <v>43300101</v>
      </c>
      <c r="D472" t="s">
        <v>67</v>
      </c>
      <c r="H472" t="str">
        <f t="shared" si="60"/>
        <v>00721920155</v>
      </c>
      <c r="I472" t="str">
        <f t="shared" si="60"/>
        <v>00721920155</v>
      </c>
      <c r="K472" t="str">
        <f>""</f>
        <v/>
      </c>
      <c r="M472" t="s">
        <v>68</v>
      </c>
      <c r="N472" t="str">
        <f t="shared" si="61"/>
        <v>FOR</v>
      </c>
      <c r="O472" t="s">
        <v>69</v>
      </c>
      <c r="P472" t="s">
        <v>75</v>
      </c>
      <c r="Q472">
        <v>2016</v>
      </c>
      <c r="R472" s="4">
        <v>42496</v>
      </c>
      <c r="S472" s="2">
        <v>42502</v>
      </c>
      <c r="T472" s="2">
        <v>42501</v>
      </c>
      <c r="U472" s="4">
        <v>42561</v>
      </c>
      <c r="V472" t="s">
        <v>71</v>
      </c>
      <c r="W472" t="str">
        <f>"          5840121247"</f>
        <v xml:space="preserve">          5840121247</v>
      </c>
      <c r="X472">
        <v>119.6</v>
      </c>
      <c r="Y472">
        <v>0</v>
      </c>
      <c r="Z472" s="5">
        <v>115</v>
      </c>
      <c r="AA472" s="3">
        <v>207</v>
      </c>
      <c r="AB472" s="5">
        <v>23805</v>
      </c>
      <c r="AC472">
        <v>115</v>
      </c>
      <c r="AD472">
        <v>207</v>
      </c>
      <c r="AE472" s="1">
        <v>23805</v>
      </c>
      <c r="AF472">
        <v>0</v>
      </c>
      <c r="AJ472">
        <v>0</v>
      </c>
      <c r="AK472">
        <v>0</v>
      </c>
      <c r="AL472">
        <v>0</v>
      </c>
      <c r="AM472">
        <v>0</v>
      </c>
      <c r="AN472">
        <v>0</v>
      </c>
      <c r="AO472">
        <v>0</v>
      </c>
      <c r="AP472" s="2">
        <v>42831</v>
      </c>
      <c r="AQ472" t="s">
        <v>72</v>
      </c>
      <c r="AR472" t="s">
        <v>72</v>
      </c>
      <c r="AS472">
        <v>239</v>
      </c>
      <c r="AT472" s="4">
        <v>42768</v>
      </c>
      <c r="AU472" t="s">
        <v>73</v>
      </c>
      <c r="AV472">
        <v>239</v>
      </c>
      <c r="AW472" s="4">
        <v>42768</v>
      </c>
      <c r="BD472">
        <v>0</v>
      </c>
      <c r="BN472" t="s">
        <v>74</v>
      </c>
    </row>
    <row r="473" spans="1:66">
      <c r="A473">
        <v>100695</v>
      </c>
      <c r="B473" t="s">
        <v>168</v>
      </c>
      <c r="C473" s="1">
        <v>43300101</v>
      </c>
      <c r="D473" t="s">
        <v>67</v>
      </c>
      <c r="H473" t="str">
        <f t="shared" si="60"/>
        <v>00721920155</v>
      </c>
      <c r="I473" t="str">
        <f t="shared" si="60"/>
        <v>00721920155</v>
      </c>
      <c r="K473" t="str">
        <f>""</f>
        <v/>
      </c>
      <c r="M473" t="s">
        <v>68</v>
      </c>
      <c r="N473" t="str">
        <f t="shared" si="61"/>
        <v>FOR</v>
      </c>
      <c r="O473" t="s">
        <v>69</v>
      </c>
      <c r="P473" t="s">
        <v>75</v>
      </c>
      <c r="Q473">
        <v>2016</v>
      </c>
      <c r="R473" s="4">
        <v>42502</v>
      </c>
      <c r="S473" s="2">
        <v>42507</v>
      </c>
      <c r="T473" s="2">
        <v>42506</v>
      </c>
      <c r="U473" s="4">
        <v>42566</v>
      </c>
      <c r="V473" t="s">
        <v>71</v>
      </c>
      <c r="W473" t="str">
        <f>"          5840121472"</f>
        <v xml:space="preserve">          5840121472</v>
      </c>
      <c r="X473">
        <v>119.6</v>
      </c>
      <c r="Y473">
        <v>0</v>
      </c>
      <c r="Z473" s="5">
        <v>115</v>
      </c>
      <c r="AA473" s="3">
        <v>202</v>
      </c>
      <c r="AB473" s="5">
        <v>23230</v>
      </c>
      <c r="AC473">
        <v>115</v>
      </c>
      <c r="AD473">
        <v>202</v>
      </c>
      <c r="AE473" s="1">
        <v>23230</v>
      </c>
      <c r="AF473">
        <v>0</v>
      </c>
      <c r="AJ473">
        <v>0</v>
      </c>
      <c r="AK473">
        <v>0</v>
      </c>
      <c r="AL473">
        <v>0</v>
      </c>
      <c r="AM473">
        <v>0</v>
      </c>
      <c r="AN473">
        <v>0</v>
      </c>
      <c r="AO473">
        <v>0</v>
      </c>
      <c r="AP473" s="2">
        <v>42831</v>
      </c>
      <c r="AQ473" t="s">
        <v>72</v>
      </c>
      <c r="AR473" t="s">
        <v>72</v>
      </c>
      <c r="AS473">
        <v>239</v>
      </c>
      <c r="AT473" s="4">
        <v>42768</v>
      </c>
      <c r="AU473" t="s">
        <v>73</v>
      </c>
      <c r="AV473">
        <v>239</v>
      </c>
      <c r="AW473" s="4">
        <v>42768</v>
      </c>
      <c r="BD473">
        <v>0</v>
      </c>
      <c r="BN473" t="s">
        <v>74</v>
      </c>
    </row>
    <row r="474" spans="1:66">
      <c r="A474">
        <v>100695</v>
      </c>
      <c r="B474" t="s">
        <v>168</v>
      </c>
      <c r="C474" s="1">
        <v>43300101</v>
      </c>
      <c r="D474" t="s">
        <v>67</v>
      </c>
      <c r="H474" t="str">
        <f t="shared" si="60"/>
        <v>00721920155</v>
      </c>
      <c r="I474" t="str">
        <f t="shared" si="60"/>
        <v>00721920155</v>
      </c>
      <c r="K474" t="str">
        <f>""</f>
        <v/>
      </c>
      <c r="M474" t="s">
        <v>68</v>
      </c>
      <c r="N474" t="str">
        <f t="shared" si="61"/>
        <v>FOR</v>
      </c>
      <c r="O474" t="s">
        <v>69</v>
      </c>
      <c r="P474" t="s">
        <v>75</v>
      </c>
      <c r="Q474">
        <v>2016</v>
      </c>
      <c r="R474" s="4">
        <v>42502</v>
      </c>
      <c r="S474" s="2">
        <v>42507</v>
      </c>
      <c r="T474" s="2">
        <v>42506</v>
      </c>
      <c r="U474" s="4">
        <v>42566</v>
      </c>
      <c r="V474" t="s">
        <v>71</v>
      </c>
      <c r="W474" t="str">
        <f>"          5840121479"</f>
        <v xml:space="preserve">          5840121479</v>
      </c>
      <c r="X474">
        <v>119.6</v>
      </c>
      <c r="Y474">
        <v>0</v>
      </c>
      <c r="Z474" s="5">
        <v>115</v>
      </c>
      <c r="AA474" s="3">
        <v>202</v>
      </c>
      <c r="AB474" s="5">
        <v>23230</v>
      </c>
      <c r="AC474">
        <v>115</v>
      </c>
      <c r="AD474">
        <v>202</v>
      </c>
      <c r="AE474" s="1">
        <v>23230</v>
      </c>
      <c r="AF474">
        <v>0</v>
      </c>
      <c r="AJ474">
        <v>0</v>
      </c>
      <c r="AK474">
        <v>0</v>
      </c>
      <c r="AL474">
        <v>0</v>
      </c>
      <c r="AM474">
        <v>0</v>
      </c>
      <c r="AN474">
        <v>0</v>
      </c>
      <c r="AO474">
        <v>0</v>
      </c>
      <c r="AP474" s="2">
        <v>42831</v>
      </c>
      <c r="AQ474" t="s">
        <v>72</v>
      </c>
      <c r="AR474" t="s">
        <v>72</v>
      </c>
      <c r="AS474">
        <v>239</v>
      </c>
      <c r="AT474" s="4">
        <v>42768</v>
      </c>
      <c r="AU474" t="s">
        <v>73</v>
      </c>
      <c r="AV474">
        <v>239</v>
      </c>
      <c r="AW474" s="4">
        <v>42768</v>
      </c>
      <c r="BD474">
        <v>0</v>
      </c>
      <c r="BN474" t="s">
        <v>74</v>
      </c>
    </row>
    <row r="475" spans="1:66">
      <c r="A475">
        <v>100695</v>
      </c>
      <c r="B475" t="s">
        <v>168</v>
      </c>
      <c r="C475" s="1">
        <v>43300101</v>
      </c>
      <c r="D475" t="s">
        <v>67</v>
      </c>
      <c r="H475" t="str">
        <f t="shared" si="60"/>
        <v>00721920155</v>
      </c>
      <c r="I475" t="str">
        <f t="shared" si="60"/>
        <v>00721920155</v>
      </c>
      <c r="K475" t="str">
        <f>""</f>
        <v/>
      </c>
      <c r="M475" t="s">
        <v>68</v>
      </c>
      <c r="N475" t="str">
        <f t="shared" si="61"/>
        <v>FOR</v>
      </c>
      <c r="O475" t="s">
        <v>69</v>
      </c>
      <c r="P475" t="s">
        <v>75</v>
      </c>
      <c r="Q475">
        <v>2016</v>
      </c>
      <c r="R475" s="4">
        <v>42502</v>
      </c>
      <c r="S475" s="2">
        <v>42507</v>
      </c>
      <c r="T475" s="2">
        <v>42506</v>
      </c>
      <c r="U475" s="4">
        <v>42566</v>
      </c>
      <c r="V475" t="s">
        <v>71</v>
      </c>
      <c r="W475" t="str">
        <f>"          5840121487"</f>
        <v xml:space="preserve">          5840121487</v>
      </c>
      <c r="X475">
        <v>119.6</v>
      </c>
      <c r="Y475">
        <v>0</v>
      </c>
      <c r="Z475" s="5">
        <v>115</v>
      </c>
      <c r="AA475" s="3">
        <v>202</v>
      </c>
      <c r="AB475" s="5">
        <v>23230</v>
      </c>
      <c r="AC475">
        <v>115</v>
      </c>
      <c r="AD475">
        <v>202</v>
      </c>
      <c r="AE475" s="1">
        <v>23230</v>
      </c>
      <c r="AF475">
        <v>0</v>
      </c>
      <c r="AJ475">
        <v>0</v>
      </c>
      <c r="AK475">
        <v>0</v>
      </c>
      <c r="AL475">
        <v>0</v>
      </c>
      <c r="AM475">
        <v>0</v>
      </c>
      <c r="AN475">
        <v>0</v>
      </c>
      <c r="AO475">
        <v>0</v>
      </c>
      <c r="AP475" s="2">
        <v>42831</v>
      </c>
      <c r="AQ475" t="s">
        <v>72</v>
      </c>
      <c r="AR475" t="s">
        <v>72</v>
      </c>
      <c r="AS475">
        <v>239</v>
      </c>
      <c r="AT475" s="4">
        <v>42768</v>
      </c>
      <c r="AU475" t="s">
        <v>73</v>
      </c>
      <c r="AV475">
        <v>239</v>
      </c>
      <c r="AW475" s="4">
        <v>42768</v>
      </c>
      <c r="BD475">
        <v>0</v>
      </c>
      <c r="BN475" t="s">
        <v>74</v>
      </c>
    </row>
    <row r="476" spans="1:66">
      <c r="A476">
        <v>100695</v>
      </c>
      <c r="B476" t="s">
        <v>168</v>
      </c>
      <c r="C476" s="1">
        <v>43300101</v>
      </c>
      <c r="D476" t="s">
        <v>67</v>
      </c>
      <c r="H476" t="str">
        <f t="shared" si="60"/>
        <v>00721920155</v>
      </c>
      <c r="I476" t="str">
        <f t="shared" si="60"/>
        <v>00721920155</v>
      </c>
      <c r="K476" t="str">
        <f>""</f>
        <v/>
      </c>
      <c r="M476" t="s">
        <v>68</v>
      </c>
      <c r="N476" t="str">
        <f t="shared" si="61"/>
        <v>FOR</v>
      </c>
      <c r="O476" t="s">
        <v>69</v>
      </c>
      <c r="P476" t="s">
        <v>75</v>
      </c>
      <c r="Q476">
        <v>2016</v>
      </c>
      <c r="R476" s="4">
        <v>42502</v>
      </c>
      <c r="S476" s="2">
        <v>42507</v>
      </c>
      <c r="T476" s="2">
        <v>42506</v>
      </c>
      <c r="U476" s="4">
        <v>42566</v>
      </c>
      <c r="V476" t="s">
        <v>71</v>
      </c>
      <c r="W476" t="str">
        <f>"          5840121498"</f>
        <v xml:space="preserve">          5840121498</v>
      </c>
      <c r="X476">
        <v>119.6</v>
      </c>
      <c r="Y476">
        <v>0</v>
      </c>
      <c r="Z476" s="5">
        <v>115</v>
      </c>
      <c r="AA476" s="3">
        <v>202</v>
      </c>
      <c r="AB476" s="5">
        <v>23230</v>
      </c>
      <c r="AC476">
        <v>115</v>
      </c>
      <c r="AD476">
        <v>202</v>
      </c>
      <c r="AE476" s="1">
        <v>23230</v>
      </c>
      <c r="AF476">
        <v>0</v>
      </c>
      <c r="AJ476">
        <v>0</v>
      </c>
      <c r="AK476">
        <v>0</v>
      </c>
      <c r="AL476">
        <v>0</v>
      </c>
      <c r="AM476">
        <v>0</v>
      </c>
      <c r="AN476">
        <v>0</v>
      </c>
      <c r="AO476">
        <v>0</v>
      </c>
      <c r="AP476" s="2">
        <v>42831</v>
      </c>
      <c r="AQ476" t="s">
        <v>72</v>
      </c>
      <c r="AR476" t="s">
        <v>72</v>
      </c>
      <c r="AS476">
        <v>239</v>
      </c>
      <c r="AT476" s="4">
        <v>42768</v>
      </c>
      <c r="AU476" t="s">
        <v>73</v>
      </c>
      <c r="AV476">
        <v>239</v>
      </c>
      <c r="AW476" s="4">
        <v>42768</v>
      </c>
      <c r="BD476">
        <v>0</v>
      </c>
      <c r="BN476" t="s">
        <v>74</v>
      </c>
    </row>
    <row r="477" spans="1:66">
      <c r="A477">
        <v>100695</v>
      </c>
      <c r="B477" t="s">
        <v>168</v>
      </c>
      <c r="C477" s="1">
        <v>43300101</v>
      </c>
      <c r="D477" t="s">
        <v>67</v>
      </c>
      <c r="H477" t="str">
        <f t="shared" si="60"/>
        <v>00721920155</v>
      </c>
      <c r="I477" t="str">
        <f t="shared" si="60"/>
        <v>00721920155</v>
      </c>
      <c r="K477" t="str">
        <f>""</f>
        <v/>
      </c>
      <c r="M477" t="s">
        <v>68</v>
      </c>
      <c r="N477" t="str">
        <f t="shared" si="61"/>
        <v>FOR</v>
      </c>
      <c r="O477" t="s">
        <v>69</v>
      </c>
      <c r="P477" t="s">
        <v>75</v>
      </c>
      <c r="Q477">
        <v>2016</v>
      </c>
      <c r="R477" s="4">
        <v>42503</v>
      </c>
      <c r="S477" s="2">
        <v>42507</v>
      </c>
      <c r="T477" s="2">
        <v>42506</v>
      </c>
      <c r="U477" s="4">
        <v>42566</v>
      </c>
      <c r="V477" t="s">
        <v>71</v>
      </c>
      <c r="W477" t="str">
        <f>"          5840121528"</f>
        <v xml:space="preserve">          5840121528</v>
      </c>
      <c r="X477">
        <v>119.6</v>
      </c>
      <c r="Y477">
        <v>0</v>
      </c>
      <c r="Z477" s="5">
        <v>115</v>
      </c>
      <c r="AA477" s="3">
        <v>202</v>
      </c>
      <c r="AB477" s="5">
        <v>23230</v>
      </c>
      <c r="AC477">
        <v>115</v>
      </c>
      <c r="AD477">
        <v>202</v>
      </c>
      <c r="AE477" s="1">
        <v>23230</v>
      </c>
      <c r="AF477">
        <v>0</v>
      </c>
      <c r="AJ477">
        <v>0</v>
      </c>
      <c r="AK477">
        <v>0</v>
      </c>
      <c r="AL477">
        <v>0</v>
      </c>
      <c r="AM477">
        <v>0</v>
      </c>
      <c r="AN477">
        <v>0</v>
      </c>
      <c r="AO477">
        <v>0</v>
      </c>
      <c r="AP477" s="2">
        <v>42831</v>
      </c>
      <c r="AQ477" t="s">
        <v>72</v>
      </c>
      <c r="AR477" t="s">
        <v>72</v>
      </c>
      <c r="AS477">
        <v>239</v>
      </c>
      <c r="AT477" s="4">
        <v>42768</v>
      </c>
      <c r="AU477" t="s">
        <v>73</v>
      </c>
      <c r="AV477">
        <v>239</v>
      </c>
      <c r="AW477" s="4">
        <v>42768</v>
      </c>
      <c r="BD477">
        <v>0</v>
      </c>
      <c r="BN477" t="s">
        <v>74</v>
      </c>
    </row>
    <row r="478" spans="1:66">
      <c r="A478">
        <v>100695</v>
      </c>
      <c r="B478" t="s">
        <v>168</v>
      </c>
      <c r="C478" s="1">
        <v>43300101</v>
      </c>
      <c r="D478" t="s">
        <v>67</v>
      </c>
      <c r="H478" t="str">
        <f t="shared" si="60"/>
        <v>00721920155</v>
      </c>
      <c r="I478" t="str">
        <f t="shared" si="60"/>
        <v>00721920155</v>
      </c>
      <c r="K478" t="str">
        <f>""</f>
        <v/>
      </c>
      <c r="M478" t="s">
        <v>68</v>
      </c>
      <c r="N478" t="str">
        <f t="shared" si="61"/>
        <v>FOR</v>
      </c>
      <c r="O478" t="s">
        <v>69</v>
      </c>
      <c r="P478" t="s">
        <v>75</v>
      </c>
      <c r="Q478">
        <v>2016</v>
      </c>
      <c r="R478" s="4">
        <v>42503</v>
      </c>
      <c r="S478" s="2">
        <v>42507</v>
      </c>
      <c r="T478" s="2">
        <v>42506</v>
      </c>
      <c r="U478" s="4">
        <v>42566</v>
      </c>
      <c r="V478" t="s">
        <v>71</v>
      </c>
      <c r="W478" t="str">
        <f>"          5840121541"</f>
        <v xml:space="preserve">          5840121541</v>
      </c>
      <c r="X478">
        <v>119.6</v>
      </c>
      <c r="Y478">
        <v>0</v>
      </c>
      <c r="Z478" s="5">
        <v>115</v>
      </c>
      <c r="AA478" s="3">
        <v>202</v>
      </c>
      <c r="AB478" s="5">
        <v>23230</v>
      </c>
      <c r="AC478">
        <v>115</v>
      </c>
      <c r="AD478">
        <v>202</v>
      </c>
      <c r="AE478" s="1">
        <v>23230</v>
      </c>
      <c r="AF478">
        <v>0</v>
      </c>
      <c r="AJ478">
        <v>0</v>
      </c>
      <c r="AK478">
        <v>0</v>
      </c>
      <c r="AL478">
        <v>0</v>
      </c>
      <c r="AM478">
        <v>0</v>
      </c>
      <c r="AN478">
        <v>0</v>
      </c>
      <c r="AO478">
        <v>0</v>
      </c>
      <c r="AP478" s="2">
        <v>42831</v>
      </c>
      <c r="AQ478" t="s">
        <v>72</v>
      </c>
      <c r="AR478" t="s">
        <v>72</v>
      </c>
      <c r="AS478">
        <v>239</v>
      </c>
      <c r="AT478" s="4">
        <v>42768</v>
      </c>
      <c r="AU478" t="s">
        <v>73</v>
      </c>
      <c r="AV478">
        <v>239</v>
      </c>
      <c r="AW478" s="4">
        <v>42768</v>
      </c>
      <c r="BD478">
        <v>0</v>
      </c>
      <c r="BN478" t="s">
        <v>74</v>
      </c>
    </row>
    <row r="479" spans="1:66">
      <c r="A479">
        <v>100695</v>
      </c>
      <c r="B479" t="s">
        <v>168</v>
      </c>
      <c r="C479" s="1">
        <v>43300101</v>
      </c>
      <c r="D479" t="s">
        <v>67</v>
      </c>
      <c r="H479" t="str">
        <f t="shared" si="60"/>
        <v>00721920155</v>
      </c>
      <c r="I479" t="str">
        <f t="shared" si="60"/>
        <v>00721920155</v>
      </c>
      <c r="K479" t="str">
        <f>""</f>
        <v/>
      </c>
      <c r="M479" t="s">
        <v>68</v>
      </c>
      <c r="N479" t="str">
        <f t="shared" si="61"/>
        <v>FOR</v>
      </c>
      <c r="O479" t="s">
        <v>69</v>
      </c>
      <c r="P479" t="s">
        <v>75</v>
      </c>
      <c r="Q479">
        <v>2016</v>
      </c>
      <c r="R479" s="4">
        <v>42503</v>
      </c>
      <c r="S479" s="2">
        <v>42507</v>
      </c>
      <c r="T479" s="2">
        <v>42506</v>
      </c>
      <c r="U479" s="4">
        <v>42566</v>
      </c>
      <c r="V479" t="s">
        <v>71</v>
      </c>
      <c r="W479" t="str">
        <f>"          5840121550"</f>
        <v xml:space="preserve">          5840121550</v>
      </c>
      <c r="X479">
        <v>119.6</v>
      </c>
      <c r="Y479">
        <v>0</v>
      </c>
      <c r="Z479" s="5">
        <v>115</v>
      </c>
      <c r="AA479" s="3">
        <v>202</v>
      </c>
      <c r="AB479" s="5">
        <v>23230</v>
      </c>
      <c r="AC479">
        <v>115</v>
      </c>
      <c r="AD479">
        <v>202</v>
      </c>
      <c r="AE479" s="1">
        <v>23230</v>
      </c>
      <c r="AF479">
        <v>0</v>
      </c>
      <c r="AJ479">
        <v>0</v>
      </c>
      <c r="AK479">
        <v>0</v>
      </c>
      <c r="AL479">
        <v>0</v>
      </c>
      <c r="AM479">
        <v>0</v>
      </c>
      <c r="AN479">
        <v>0</v>
      </c>
      <c r="AO479">
        <v>0</v>
      </c>
      <c r="AP479" s="2">
        <v>42831</v>
      </c>
      <c r="AQ479" t="s">
        <v>72</v>
      </c>
      <c r="AR479" t="s">
        <v>72</v>
      </c>
      <c r="AS479">
        <v>239</v>
      </c>
      <c r="AT479" s="4">
        <v>42768</v>
      </c>
      <c r="AU479" t="s">
        <v>73</v>
      </c>
      <c r="AV479">
        <v>239</v>
      </c>
      <c r="AW479" s="4">
        <v>42768</v>
      </c>
      <c r="BD479">
        <v>0</v>
      </c>
      <c r="BN479" t="s">
        <v>74</v>
      </c>
    </row>
    <row r="480" spans="1:66">
      <c r="A480">
        <v>100695</v>
      </c>
      <c r="B480" t="s">
        <v>168</v>
      </c>
      <c r="C480" s="1">
        <v>43300101</v>
      </c>
      <c r="D480" t="s">
        <v>67</v>
      </c>
      <c r="H480" t="str">
        <f t="shared" si="60"/>
        <v>00721920155</v>
      </c>
      <c r="I480" t="str">
        <f t="shared" si="60"/>
        <v>00721920155</v>
      </c>
      <c r="K480" t="str">
        <f>""</f>
        <v/>
      </c>
      <c r="M480" t="s">
        <v>68</v>
      </c>
      <c r="N480" t="str">
        <f t="shared" si="61"/>
        <v>FOR</v>
      </c>
      <c r="O480" t="s">
        <v>69</v>
      </c>
      <c r="P480" t="s">
        <v>75</v>
      </c>
      <c r="Q480">
        <v>2016</v>
      </c>
      <c r="R480" s="4">
        <v>42513</v>
      </c>
      <c r="S480" s="2">
        <v>42516</v>
      </c>
      <c r="T480" s="2">
        <v>42515</v>
      </c>
      <c r="U480" s="4">
        <v>42575</v>
      </c>
      <c r="V480" t="s">
        <v>71</v>
      </c>
      <c r="W480" t="str">
        <f>"          5840121899"</f>
        <v xml:space="preserve">          5840121899</v>
      </c>
      <c r="X480">
        <v>119.6</v>
      </c>
      <c r="Y480">
        <v>0</v>
      </c>
      <c r="Z480" s="5">
        <v>115</v>
      </c>
      <c r="AA480" s="3">
        <v>193</v>
      </c>
      <c r="AB480" s="5">
        <v>22195</v>
      </c>
      <c r="AC480">
        <v>115</v>
      </c>
      <c r="AD480">
        <v>193</v>
      </c>
      <c r="AE480" s="1">
        <v>22195</v>
      </c>
      <c r="AF480">
        <v>0</v>
      </c>
      <c r="AJ480">
        <v>0</v>
      </c>
      <c r="AK480">
        <v>0</v>
      </c>
      <c r="AL480">
        <v>0</v>
      </c>
      <c r="AM480">
        <v>0</v>
      </c>
      <c r="AN480">
        <v>0</v>
      </c>
      <c r="AO480">
        <v>0</v>
      </c>
      <c r="AP480" s="2">
        <v>42831</v>
      </c>
      <c r="AQ480" t="s">
        <v>72</v>
      </c>
      <c r="AR480" t="s">
        <v>72</v>
      </c>
      <c r="AS480">
        <v>239</v>
      </c>
      <c r="AT480" s="4">
        <v>42768</v>
      </c>
      <c r="AU480" t="s">
        <v>73</v>
      </c>
      <c r="AV480">
        <v>239</v>
      </c>
      <c r="AW480" s="4">
        <v>42768</v>
      </c>
      <c r="BD480">
        <v>0</v>
      </c>
      <c r="BN480" t="s">
        <v>74</v>
      </c>
    </row>
    <row r="481" spans="1:66">
      <c r="A481">
        <v>100695</v>
      </c>
      <c r="B481" t="s">
        <v>168</v>
      </c>
      <c r="C481" s="1">
        <v>43300101</v>
      </c>
      <c r="D481" t="s">
        <v>67</v>
      </c>
      <c r="H481" t="str">
        <f t="shared" si="60"/>
        <v>00721920155</v>
      </c>
      <c r="I481" t="str">
        <f t="shared" si="60"/>
        <v>00721920155</v>
      </c>
      <c r="K481" t="str">
        <f>""</f>
        <v/>
      </c>
      <c r="M481" t="s">
        <v>68</v>
      </c>
      <c r="N481" t="str">
        <f t="shared" si="61"/>
        <v>FOR</v>
      </c>
      <c r="O481" t="s">
        <v>69</v>
      </c>
      <c r="P481" t="s">
        <v>75</v>
      </c>
      <c r="Q481">
        <v>2016</v>
      </c>
      <c r="R481" s="4">
        <v>42513</v>
      </c>
      <c r="S481" s="2">
        <v>42516</v>
      </c>
      <c r="T481" s="2">
        <v>42515</v>
      </c>
      <c r="U481" s="4">
        <v>42575</v>
      </c>
      <c r="V481" t="s">
        <v>71</v>
      </c>
      <c r="W481" t="str">
        <f>"          5840121919"</f>
        <v xml:space="preserve">          5840121919</v>
      </c>
      <c r="X481">
        <v>119.6</v>
      </c>
      <c r="Y481">
        <v>0</v>
      </c>
      <c r="Z481" s="5">
        <v>115</v>
      </c>
      <c r="AA481" s="3">
        <v>193</v>
      </c>
      <c r="AB481" s="5">
        <v>22195</v>
      </c>
      <c r="AC481">
        <v>115</v>
      </c>
      <c r="AD481">
        <v>193</v>
      </c>
      <c r="AE481" s="1">
        <v>22195</v>
      </c>
      <c r="AF481">
        <v>0</v>
      </c>
      <c r="AJ481">
        <v>0</v>
      </c>
      <c r="AK481">
        <v>0</v>
      </c>
      <c r="AL481">
        <v>0</v>
      </c>
      <c r="AM481">
        <v>0</v>
      </c>
      <c r="AN481">
        <v>0</v>
      </c>
      <c r="AO481">
        <v>0</v>
      </c>
      <c r="AP481" s="2">
        <v>42831</v>
      </c>
      <c r="AQ481" t="s">
        <v>72</v>
      </c>
      <c r="AR481" t="s">
        <v>72</v>
      </c>
      <c r="AS481">
        <v>239</v>
      </c>
      <c r="AT481" s="4">
        <v>42768</v>
      </c>
      <c r="AU481" t="s">
        <v>73</v>
      </c>
      <c r="AV481">
        <v>239</v>
      </c>
      <c r="AW481" s="4">
        <v>42768</v>
      </c>
      <c r="BD481">
        <v>0</v>
      </c>
      <c r="BN481" t="s">
        <v>74</v>
      </c>
    </row>
    <row r="482" spans="1:66">
      <c r="A482">
        <v>100695</v>
      </c>
      <c r="B482" t="s">
        <v>168</v>
      </c>
      <c r="C482" s="1">
        <v>43300101</v>
      </c>
      <c r="D482" t="s">
        <v>67</v>
      </c>
      <c r="H482" t="str">
        <f t="shared" si="60"/>
        <v>00721920155</v>
      </c>
      <c r="I482" t="str">
        <f t="shared" si="60"/>
        <v>00721920155</v>
      </c>
      <c r="K482" t="str">
        <f>""</f>
        <v/>
      </c>
      <c r="M482" t="s">
        <v>68</v>
      </c>
      <c r="N482" t="str">
        <f t="shared" si="61"/>
        <v>FOR</v>
      </c>
      <c r="O482" t="s">
        <v>69</v>
      </c>
      <c r="P482" t="s">
        <v>75</v>
      </c>
      <c r="Q482">
        <v>2016</v>
      </c>
      <c r="R482" s="4">
        <v>42521</v>
      </c>
      <c r="S482" s="2">
        <v>42530</v>
      </c>
      <c r="T482" s="2">
        <v>42524</v>
      </c>
      <c r="U482" s="4">
        <v>42584</v>
      </c>
      <c r="V482" t="s">
        <v>71</v>
      </c>
      <c r="W482" t="str">
        <f>"          5840122447"</f>
        <v xml:space="preserve">          5840122447</v>
      </c>
      <c r="X482">
        <v>119.6</v>
      </c>
      <c r="Y482">
        <v>0</v>
      </c>
      <c r="Z482" s="5">
        <v>115</v>
      </c>
      <c r="AA482" s="3">
        <v>184</v>
      </c>
      <c r="AB482" s="5">
        <v>21160</v>
      </c>
      <c r="AC482">
        <v>115</v>
      </c>
      <c r="AD482">
        <v>184</v>
      </c>
      <c r="AE482" s="1">
        <v>21160</v>
      </c>
      <c r="AF482">
        <v>0</v>
      </c>
      <c r="AJ482">
        <v>0</v>
      </c>
      <c r="AK482">
        <v>0</v>
      </c>
      <c r="AL482">
        <v>0</v>
      </c>
      <c r="AM482">
        <v>0</v>
      </c>
      <c r="AN482">
        <v>0</v>
      </c>
      <c r="AO482">
        <v>0</v>
      </c>
      <c r="AP482" s="2">
        <v>42831</v>
      </c>
      <c r="AQ482" t="s">
        <v>72</v>
      </c>
      <c r="AR482" t="s">
        <v>72</v>
      </c>
      <c r="AS482">
        <v>239</v>
      </c>
      <c r="AT482" s="4">
        <v>42768</v>
      </c>
      <c r="AU482" t="s">
        <v>73</v>
      </c>
      <c r="AV482">
        <v>239</v>
      </c>
      <c r="AW482" s="4">
        <v>42768</v>
      </c>
      <c r="BD482">
        <v>0</v>
      </c>
      <c r="BN482" t="s">
        <v>74</v>
      </c>
    </row>
    <row r="483" spans="1:66">
      <c r="A483">
        <v>100695</v>
      </c>
      <c r="B483" t="s">
        <v>168</v>
      </c>
      <c r="C483" s="1">
        <v>43300101</v>
      </c>
      <c r="D483" t="s">
        <v>67</v>
      </c>
      <c r="H483" t="str">
        <f t="shared" si="60"/>
        <v>00721920155</v>
      </c>
      <c r="I483" t="str">
        <f t="shared" si="60"/>
        <v>00721920155</v>
      </c>
      <c r="K483" t="str">
        <f>""</f>
        <v/>
      </c>
      <c r="M483" t="s">
        <v>68</v>
      </c>
      <c r="N483" t="str">
        <f t="shared" si="61"/>
        <v>FOR</v>
      </c>
      <c r="O483" t="s">
        <v>69</v>
      </c>
      <c r="P483" t="s">
        <v>75</v>
      </c>
      <c r="Q483">
        <v>2016</v>
      </c>
      <c r="R483" s="4">
        <v>42521</v>
      </c>
      <c r="S483" s="2">
        <v>42530</v>
      </c>
      <c r="T483" s="2">
        <v>42524</v>
      </c>
      <c r="U483" s="4">
        <v>42584</v>
      </c>
      <c r="V483" t="s">
        <v>71</v>
      </c>
      <c r="W483" t="str">
        <f>"          5840122451"</f>
        <v xml:space="preserve">          5840122451</v>
      </c>
      <c r="X483">
        <v>119.6</v>
      </c>
      <c r="Y483">
        <v>0</v>
      </c>
      <c r="Z483" s="5">
        <v>115</v>
      </c>
      <c r="AA483" s="3">
        <v>184</v>
      </c>
      <c r="AB483" s="5">
        <v>21160</v>
      </c>
      <c r="AC483">
        <v>115</v>
      </c>
      <c r="AD483">
        <v>184</v>
      </c>
      <c r="AE483" s="1">
        <v>21160</v>
      </c>
      <c r="AF483">
        <v>0</v>
      </c>
      <c r="AJ483">
        <v>0</v>
      </c>
      <c r="AK483">
        <v>0</v>
      </c>
      <c r="AL483">
        <v>0</v>
      </c>
      <c r="AM483">
        <v>0</v>
      </c>
      <c r="AN483">
        <v>0</v>
      </c>
      <c r="AO483">
        <v>0</v>
      </c>
      <c r="AP483" s="2">
        <v>42831</v>
      </c>
      <c r="AQ483" t="s">
        <v>72</v>
      </c>
      <c r="AR483" t="s">
        <v>72</v>
      </c>
      <c r="AS483">
        <v>239</v>
      </c>
      <c r="AT483" s="4">
        <v>42768</v>
      </c>
      <c r="AU483" t="s">
        <v>73</v>
      </c>
      <c r="AV483">
        <v>239</v>
      </c>
      <c r="AW483" s="4">
        <v>42768</v>
      </c>
      <c r="BD483">
        <v>0</v>
      </c>
      <c r="BN483" t="s">
        <v>74</v>
      </c>
    </row>
    <row r="484" spans="1:66">
      <c r="A484">
        <v>100695</v>
      </c>
      <c r="B484" t="s">
        <v>168</v>
      </c>
      <c r="C484" s="1">
        <v>43300101</v>
      </c>
      <c r="D484" t="s">
        <v>67</v>
      </c>
      <c r="H484" t="str">
        <f t="shared" si="60"/>
        <v>00721920155</v>
      </c>
      <c r="I484" t="str">
        <f t="shared" si="60"/>
        <v>00721920155</v>
      </c>
      <c r="K484" t="str">
        <f>""</f>
        <v/>
      </c>
      <c r="M484" t="s">
        <v>68</v>
      </c>
      <c r="N484" t="str">
        <f t="shared" si="61"/>
        <v>FOR</v>
      </c>
      <c r="O484" t="s">
        <v>69</v>
      </c>
      <c r="P484" t="s">
        <v>75</v>
      </c>
      <c r="Q484">
        <v>2016</v>
      </c>
      <c r="R484" s="4">
        <v>42521</v>
      </c>
      <c r="S484" s="2">
        <v>42530</v>
      </c>
      <c r="T484" s="2">
        <v>42524</v>
      </c>
      <c r="U484" s="4">
        <v>42584</v>
      </c>
      <c r="V484" t="s">
        <v>71</v>
      </c>
      <c r="W484" t="str">
        <f>"          5840122452"</f>
        <v xml:space="preserve">          5840122452</v>
      </c>
      <c r="X484">
        <v>119.6</v>
      </c>
      <c r="Y484">
        <v>0</v>
      </c>
      <c r="Z484" s="5">
        <v>115</v>
      </c>
      <c r="AA484" s="3">
        <v>184</v>
      </c>
      <c r="AB484" s="5">
        <v>21160</v>
      </c>
      <c r="AC484">
        <v>115</v>
      </c>
      <c r="AD484">
        <v>184</v>
      </c>
      <c r="AE484" s="1">
        <v>21160</v>
      </c>
      <c r="AF484">
        <v>0</v>
      </c>
      <c r="AJ484">
        <v>0</v>
      </c>
      <c r="AK484">
        <v>0</v>
      </c>
      <c r="AL484">
        <v>0</v>
      </c>
      <c r="AM484">
        <v>0</v>
      </c>
      <c r="AN484">
        <v>0</v>
      </c>
      <c r="AO484">
        <v>0</v>
      </c>
      <c r="AP484" s="2">
        <v>42831</v>
      </c>
      <c r="AQ484" t="s">
        <v>72</v>
      </c>
      <c r="AR484" t="s">
        <v>72</v>
      </c>
      <c r="AS484">
        <v>239</v>
      </c>
      <c r="AT484" s="4">
        <v>42768</v>
      </c>
      <c r="AU484" t="s">
        <v>73</v>
      </c>
      <c r="AV484">
        <v>239</v>
      </c>
      <c r="AW484" s="4">
        <v>42768</v>
      </c>
      <c r="BD484">
        <v>0</v>
      </c>
      <c r="BN484" t="s">
        <v>74</v>
      </c>
    </row>
    <row r="485" spans="1:66">
      <c r="A485">
        <v>100695</v>
      </c>
      <c r="B485" t="s">
        <v>168</v>
      </c>
      <c r="C485" s="1">
        <v>43300101</v>
      </c>
      <c r="D485" t="s">
        <v>67</v>
      </c>
      <c r="H485" t="str">
        <f t="shared" si="60"/>
        <v>00721920155</v>
      </c>
      <c r="I485" t="str">
        <f t="shared" si="60"/>
        <v>00721920155</v>
      </c>
      <c r="K485" t="str">
        <f>""</f>
        <v/>
      </c>
      <c r="M485" t="s">
        <v>68</v>
      </c>
      <c r="N485" t="str">
        <f t="shared" si="61"/>
        <v>FOR</v>
      </c>
      <c r="O485" t="s">
        <v>69</v>
      </c>
      <c r="P485" t="s">
        <v>75</v>
      </c>
      <c r="Q485">
        <v>2016</v>
      </c>
      <c r="R485" s="4">
        <v>42521</v>
      </c>
      <c r="S485" s="2">
        <v>42530</v>
      </c>
      <c r="T485" s="2">
        <v>42524</v>
      </c>
      <c r="U485" s="4">
        <v>42584</v>
      </c>
      <c r="V485" t="s">
        <v>71</v>
      </c>
      <c r="W485" t="str">
        <f>"          5840122455"</f>
        <v xml:space="preserve">          5840122455</v>
      </c>
      <c r="X485">
        <v>119.6</v>
      </c>
      <c r="Y485">
        <v>0</v>
      </c>
      <c r="Z485" s="5">
        <v>115</v>
      </c>
      <c r="AA485" s="3">
        <v>184</v>
      </c>
      <c r="AB485" s="5">
        <v>21160</v>
      </c>
      <c r="AC485">
        <v>115</v>
      </c>
      <c r="AD485">
        <v>184</v>
      </c>
      <c r="AE485" s="1">
        <v>21160</v>
      </c>
      <c r="AF485">
        <v>0</v>
      </c>
      <c r="AJ485">
        <v>0</v>
      </c>
      <c r="AK485">
        <v>0</v>
      </c>
      <c r="AL485">
        <v>0</v>
      </c>
      <c r="AM485">
        <v>0</v>
      </c>
      <c r="AN485">
        <v>0</v>
      </c>
      <c r="AO485">
        <v>0</v>
      </c>
      <c r="AP485" s="2">
        <v>42831</v>
      </c>
      <c r="AQ485" t="s">
        <v>72</v>
      </c>
      <c r="AR485" t="s">
        <v>72</v>
      </c>
      <c r="AS485">
        <v>239</v>
      </c>
      <c r="AT485" s="4">
        <v>42768</v>
      </c>
      <c r="AU485" t="s">
        <v>73</v>
      </c>
      <c r="AV485">
        <v>239</v>
      </c>
      <c r="AW485" s="4">
        <v>42768</v>
      </c>
      <c r="BD485">
        <v>0</v>
      </c>
      <c r="BN485" t="s">
        <v>74</v>
      </c>
    </row>
    <row r="486" spans="1:66">
      <c r="A486">
        <v>100695</v>
      </c>
      <c r="B486" t="s">
        <v>168</v>
      </c>
      <c r="C486" s="1">
        <v>43300101</v>
      </c>
      <c r="D486" t="s">
        <v>67</v>
      </c>
      <c r="H486" t="str">
        <f t="shared" si="60"/>
        <v>00721920155</v>
      </c>
      <c r="I486" t="str">
        <f t="shared" si="60"/>
        <v>00721920155</v>
      </c>
      <c r="K486" t="str">
        <f>""</f>
        <v/>
      </c>
      <c r="M486" t="s">
        <v>68</v>
      </c>
      <c r="N486" t="str">
        <f t="shared" si="61"/>
        <v>FOR</v>
      </c>
      <c r="O486" t="s">
        <v>69</v>
      </c>
      <c r="P486" t="s">
        <v>75</v>
      </c>
      <c r="Q486">
        <v>2016</v>
      </c>
      <c r="R486" s="4">
        <v>42521</v>
      </c>
      <c r="S486" s="2">
        <v>42530</v>
      </c>
      <c r="T486" s="2">
        <v>42524</v>
      </c>
      <c r="U486" s="4">
        <v>42584</v>
      </c>
      <c r="V486" t="s">
        <v>71</v>
      </c>
      <c r="W486" t="str">
        <f>"          5840122464"</f>
        <v xml:space="preserve">          5840122464</v>
      </c>
      <c r="X486">
        <v>119.6</v>
      </c>
      <c r="Y486">
        <v>0</v>
      </c>
      <c r="Z486" s="5">
        <v>115</v>
      </c>
      <c r="AA486" s="3">
        <v>184</v>
      </c>
      <c r="AB486" s="5">
        <v>21160</v>
      </c>
      <c r="AC486">
        <v>115</v>
      </c>
      <c r="AD486">
        <v>184</v>
      </c>
      <c r="AE486" s="1">
        <v>21160</v>
      </c>
      <c r="AF486">
        <v>0</v>
      </c>
      <c r="AJ486">
        <v>0</v>
      </c>
      <c r="AK486">
        <v>0</v>
      </c>
      <c r="AL486">
        <v>0</v>
      </c>
      <c r="AM486">
        <v>0</v>
      </c>
      <c r="AN486">
        <v>0</v>
      </c>
      <c r="AO486">
        <v>0</v>
      </c>
      <c r="AP486" s="2">
        <v>42831</v>
      </c>
      <c r="AQ486" t="s">
        <v>72</v>
      </c>
      <c r="AR486" t="s">
        <v>72</v>
      </c>
      <c r="AS486">
        <v>239</v>
      </c>
      <c r="AT486" s="4">
        <v>42768</v>
      </c>
      <c r="AU486" t="s">
        <v>73</v>
      </c>
      <c r="AV486">
        <v>239</v>
      </c>
      <c r="AW486" s="4">
        <v>42768</v>
      </c>
      <c r="BD486">
        <v>0</v>
      </c>
      <c r="BN486" t="s">
        <v>74</v>
      </c>
    </row>
    <row r="487" spans="1:66">
      <c r="A487">
        <v>100695</v>
      </c>
      <c r="B487" t="s">
        <v>168</v>
      </c>
      <c r="C487" s="1">
        <v>43300101</v>
      </c>
      <c r="D487" t="s">
        <v>67</v>
      </c>
      <c r="H487" t="str">
        <f t="shared" si="60"/>
        <v>00721920155</v>
      </c>
      <c r="I487" t="str">
        <f t="shared" si="60"/>
        <v>00721920155</v>
      </c>
      <c r="K487" t="str">
        <f>""</f>
        <v/>
      </c>
      <c r="M487" t="s">
        <v>68</v>
      </c>
      <c r="N487" t="str">
        <f t="shared" si="61"/>
        <v>FOR</v>
      </c>
      <c r="O487" t="s">
        <v>69</v>
      </c>
      <c r="P487" t="s">
        <v>75</v>
      </c>
      <c r="Q487">
        <v>2016</v>
      </c>
      <c r="R487" s="4">
        <v>42521</v>
      </c>
      <c r="S487" s="2">
        <v>42530</v>
      </c>
      <c r="T487" s="2">
        <v>42524</v>
      </c>
      <c r="U487" s="4">
        <v>42584</v>
      </c>
      <c r="V487" t="s">
        <v>71</v>
      </c>
      <c r="W487" t="str">
        <f>"          5840122466"</f>
        <v xml:space="preserve">          5840122466</v>
      </c>
      <c r="X487">
        <v>119.6</v>
      </c>
      <c r="Y487">
        <v>0</v>
      </c>
      <c r="Z487" s="5">
        <v>115</v>
      </c>
      <c r="AA487" s="3">
        <v>184</v>
      </c>
      <c r="AB487" s="5">
        <v>21160</v>
      </c>
      <c r="AC487">
        <v>115</v>
      </c>
      <c r="AD487">
        <v>184</v>
      </c>
      <c r="AE487" s="1">
        <v>21160</v>
      </c>
      <c r="AF487">
        <v>0</v>
      </c>
      <c r="AJ487">
        <v>0</v>
      </c>
      <c r="AK487">
        <v>0</v>
      </c>
      <c r="AL487">
        <v>0</v>
      </c>
      <c r="AM487">
        <v>0</v>
      </c>
      <c r="AN487">
        <v>0</v>
      </c>
      <c r="AO487">
        <v>0</v>
      </c>
      <c r="AP487" s="2">
        <v>42831</v>
      </c>
      <c r="AQ487" t="s">
        <v>72</v>
      </c>
      <c r="AR487" t="s">
        <v>72</v>
      </c>
      <c r="AS487">
        <v>239</v>
      </c>
      <c r="AT487" s="4">
        <v>42768</v>
      </c>
      <c r="AU487" t="s">
        <v>73</v>
      </c>
      <c r="AV487">
        <v>239</v>
      </c>
      <c r="AW487" s="4">
        <v>42768</v>
      </c>
      <c r="BD487">
        <v>0</v>
      </c>
      <c r="BN487" t="s">
        <v>74</v>
      </c>
    </row>
    <row r="488" spans="1:66">
      <c r="A488">
        <v>100695</v>
      </c>
      <c r="B488" t="s">
        <v>168</v>
      </c>
      <c r="C488" s="1">
        <v>43300101</v>
      </c>
      <c r="D488" t="s">
        <v>67</v>
      </c>
      <c r="H488" t="str">
        <f t="shared" si="60"/>
        <v>00721920155</v>
      </c>
      <c r="I488" t="str">
        <f t="shared" si="60"/>
        <v>00721920155</v>
      </c>
      <c r="K488" t="str">
        <f>""</f>
        <v/>
      </c>
      <c r="M488" t="s">
        <v>68</v>
      </c>
      <c r="N488" t="str">
        <f t="shared" si="61"/>
        <v>FOR</v>
      </c>
      <c r="O488" t="s">
        <v>69</v>
      </c>
      <c r="P488" t="s">
        <v>75</v>
      </c>
      <c r="Q488">
        <v>2016</v>
      </c>
      <c r="R488" s="4">
        <v>42521</v>
      </c>
      <c r="S488" s="2">
        <v>42530</v>
      </c>
      <c r="T488" s="2">
        <v>42524</v>
      </c>
      <c r="U488" s="4">
        <v>42584</v>
      </c>
      <c r="V488" t="s">
        <v>71</v>
      </c>
      <c r="W488" t="str">
        <f>"          5840122468"</f>
        <v xml:space="preserve">          5840122468</v>
      </c>
      <c r="X488">
        <v>119.6</v>
      </c>
      <c r="Y488">
        <v>0</v>
      </c>
      <c r="Z488" s="5">
        <v>115</v>
      </c>
      <c r="AA488" s="3">
        <v>184</v>
      </c>
      <c r="AB488" s="5">
        <v>21160</v>
      </c>
      <c r="AC488">
        <v>115</v>
      </c>
      <c r="AD488">
        <v>184</v>
      </c>
      <c r="AE488" s="1">
        <v>21160</v>
      </c>
      <c r="AF488">
        <v>0</v>
      </c>
      <c r="AJ488">
        <v>0</v>
      </c>
      <c r="AK488">
        <v>0</v>
      </c>
      <c r="AL488">
        <v>0</v>
      </c>
      <c r="AM488">
        <v>0</v>
      </c>
      <c r="AN488">
        <v>0</v>
      </c>
      <c r="AO488">
        <v>0</v>
      </c>
      <c r="AP488" s="2">
        <v>42831</v>
      </c>
      <c r="AQ488" t="s">
        <v>72</v>
      </c>
      <c r="AR488" t="s">
        <v>72</v>
      </c>
      <c r="AS488">
        <v>239</v>
      </c>
      <c r="AT488" s="4">
        <v>42768</v>
      </c>
      <c r="AU488" t="s">
        <v>73</v>
      </c>
      <c r="AV488">
        <v>239</v>
      </c>
      <c r="AW488" s="4">
        <v>42768</v>
      </c>
      <c r="BD488">
        <v>0</v>
      </c>
      <c r="BN488" t="s">
        <v>74</v>
      </c>
    </row>
    <row r="489" spans="1:66">
      <c r="A489">
        <v>100695</v>
      </c>
      <c r="B489" t="s">
        <v>168</v>
      </c>
      <c r="C489" s="1">
        <v>43300101</v>
      </c>
      <c r="D489" t="s">
        <v>67</v>
      </c>
      <c r="H489" t="str">
        <f t="shared" ref="H489:I508" si="62">"00721920155"</f>
        <v>00721920155</v>
      </c>
      <c r="I489" t="str">
        <f t="shared" si="62"/>
        <v>00721920155</v>
      </c>
      <c r="K489" t="str">
        <f>""</f>
        <v/>
      </c>
      <c r="M489" t="s">
        <v>68</v>
      </c>
      <c r="N489" t="str">
        <f t="shared" si="61"/>
        <v>FOR</v>
      </c>
      <c r="O489" t="s">
        <v>69</v>
      </c>
      <c r="P489" t="s">
        <v>75</v>
      </c>
      <c r="Q489">
        <v>2016</v>
      </c>
      <c r="R489" s="4">
        <v>42521</v>
      </c>
      <c r="S489" s="2">
        <v>42530</v>
      </c>
      <c r="T489" s="2">
        <v>42524</v>
      </c>
      <c r="U489" s="4">
        <v>42584</v>
      </c>
      <c r="V489" t="s">
        <v>71</v>
      </c>
      <c r="W489" t="str">
        <f>"          5840122471"</f>
        <v xml:space="preserve">          5840122471</v>
      </c>
      <c r="X489">
        <v>119.6</v>
      </c>
      <c r="Y489">
        <v>0</v>
      </c>
      <c r="Z489" s="5">
        <v>115</v>
      </c>
      <c r="AA489" s="3">
        <v>184</v>
      </c>
      <c r="AB489" s="5">
        <v>21160</v>
      </c>
      <c r="AC489">
        <v>115</v>
      </c>
      <c r="AD489">
        <v>184</v>
      </c>
      <c r="AE489" s="1">
        <v>21160</v>
      </c>
      <c r="AF489">
        <v>0</v>
      </c>
      <c r="AJ489">
        <v>0</v>
      </c>
      <c r="AK489">
        <v>0</v>
      </c>
      <c r="AL489">
        <v>0</v>
      </c>
      <c r="AM489">
        <v>0</v>
      </c>
      <c r="AN489">
        <v>0</v>
      </c>
      <c r="AO489">
        <v>0</v>
      </c>
      <c r="AP489" s="2">
        <v>42831</v>
      </c>
      <c r="AQ489" t="s">
        <v>72</v>
      </c>
      <c r="AR489" t="s">
        <v>72</v>
      </c>
      <c r="AS489">
        <v>239</v>
      </c>
      <c r="AT489" s="4">
        <v>42768</v>
      </c>
      <c r="AU489" t="s">
        <v>73</v>
      </c>
      <c r="AV489">
        <v>239</v>
      </c>
      <c r="AW489" s="4">
        <v>42768</v>
      </c>
      <c r="BD489">
        <v>0</v>
      </c>
      <c r="BN489" t="s">
        <v>74</v>
      </c>
    </row>
    <row r="490" spans="1:66">
      <c r="A490">
        <v>100695</v>
      </c>
      <c r="B490" t="s">
        <v>168</v>
      </c>
      <c r="C490" s="1">
        <v>43300101</v>
      </c>
      <c r="D490" t="s">
        <v>67</v>
      </c>
      <c r="H490" t="str">
        <f t="shared" si="62"/>
        <v>00721920155</v>
      </c>
      <c r="I490" t="str">
        <f t="shared" si="62"/>
        <v>00721920155</v>
      </c>
      <c r="K490" t="str">
        <f>""</f>
        <v/>
      </c>
      <c r="M490" t="s">
        <v>68</v>
      </c>
      <c r="N490" t="str">
        <f t="shared" si="61"/>
        <v>FOR</v>
      </c>
      <c r="O490" t="s">
        <v>69</v>
      </c>
      <c r="P490" t="s">
        <v>75</v>
      </c>
      <c r="Q490">
        <v>2016</v>
      </c>
      <c r="R490" s="4">
        <v>42522</v>
      </c>
      <c r="S490" s="2">
        <v>42534</v>
      </c>
      <c r="T490" s="2">
        <v>42530</v>
      </c>
      <c r="U490" s="4">
        <v>42590</v>
      </c>
      <c r="V490" t="s">
        <v>71</v>
      </c>
      <c r="W490" t="str">
        <f>"          5840122575"</f>
        <v xml:space="preserve">          5840122575</v>
      </c>
      <c r="X490">
        <v>119.6</v>
      </c>
      <c r="Y490">
        <v>0</v>
      </c>
      <c r="Z490" s="5">
        <v>115</v>
      </c>
      <c r="AA490" s="3">
        <v>183</v>
      </c>
      <c r="AB490" s="5">
        <v>21045</v>
      </c>
      <c r="AC490">
        <v>115</v>
      </c>
      <c r="AD490">
        <v>183</v>
      </c>
      <c r="AE490" s="1">
        <v>21045</v>
      </c>
      <c r="AF490">
        <v>0</v>
      </c>
      <c r="AJ490">
        <v>0</v>
      </c>
      <c r="AK490">
        <v>0</v>
      </c>
      <c r="AL490">
        <v>0</v>
      </c>
      <c r="AM490">
        <v>0</v>
      </c>
      <c r="AN490">
        <v>0</v>
      </c>
      <c r="AO490">
        <v>0</v>
      </c>
      <c r="AP490" s="2">
        <v>42831</v>
      </c>
      <c r="AQ490" t="s">
        <v>72</v>
      </c>
      <c r="AR490" t="s">
        <v>72</v>
      </c>
      <c r="AS490">
        <v>309</v>
      </c>
      <c r="AT490" s="4">
        <v>42773</v>
      </c>
      <c r="AU490" t="s">
        <v>73</v>
      </c>
      <c r="AV490">
        <v>309</v>
      </c>
      <c r="AW490" s="4">
        <v>42773</v>
      </c>
      <c r="BD490">
        <v>0</v>
      </c>
      <c r="BN490" t="s">
        <v>74</v>
      </c>
    </row>
    <row r="491" spans="1:66">
      <c r="A491">
        <v>100695</v>
      </c>
      <c r="B491" t="s">
        <v>168</v>
      </c>
      <c r="C491" s="1">
        <v>43300101</v>
      </c>
      <c r="D491" t="s">
        <v>67</v>
      </c>
      <c r="H491" t="str">
        <f t="shared" si="62"/>
        <v>00721920155</v>
      </c>
      <c r="I491" t="str">
        <f t="shared" si="62"/>
        <v>00721920155</v>
      </c>
      <c r="K491" t="str">
        <f>""</f>
        <v/>
      </c>
      <c r="M491" t="s">
        <v>68</v>
      </c>
      <c r="N491" t="str">
        <f t="shared" si="61"/>
        <v>FOR</v>
      </c>
      <c r="O491" t="s">
        <v>69</v>
      </c>
      <c r="P491" t="s">
        <v>75</v>
      </c>
      <c r="Q491">
        <v>2016</v>
      </c>
      <c r="R491" s="4">
        <v>42522</v>
      </c>
      <c r="S491" s="2">
        <v>42534</v>
      </c>
      <c r="T491" s="2">
        <v>42530</v>
      </c>
      <c r="U491" s="4">
        <v>42590</v>
      </c>
      <c r="V491" t="s">
        <v>71</v>
      </c>
      <c r="W491" t="str">
        <f>"          5840122577"</f>
        <v xml:space="preserve">          5840122577</v>
      </c>
      <c r="X491">
        <v>119.6</v>
      </c>
      <c r="Y491">
        <v>0</v>
      </c>
      <c r="Z491" s="5">
        <v>115</v>
      </c>
      <c r="AA491" s="3">
        <v>183</v>
      </c>
      <c r="AB491" s="5">
        <v>21045</v>
      </c>
      <c r="AC491">
        <v>115</v>
      </c>
      <c r="AD491">
        <v>183</v>
      </c>
      <c r="AE491" s="1">
        <v>21045</v>
      </c>
      <c r="AF491">
        <v>0</v>
      </c>
      <c r="AJ491">
        <v>0</v>
      </c>
      <c r="AK491">
        <v>0</v>
      </c>
      <c r="AL491">
        <v>0</v>
      </c>
      <c r="AM491">
        <v>0</v>
      </c>
      <c r="AN491">
        <v>0</v>
      </c>
      <c r="AO491">
        <v>0</v>
      </c>
      <c r="AP491" s="2">
        <v>42831</v>
      </c>
      <c r="AQ491" t="s">
        <v>72</v>
      </c>
      <c r="AR491" t="s">
        <v>72</v>
      </c>
      <c r="AS491">
        <v>309</v>
      </c>
      <c r="AT491" s="4">
        <v>42773</v>
      </c>
      <c r="AU491" t="s">
        <v>73</v>
      </c>
      <c r="AV491">
        <v>309</v>
      </c>
      <c r="AW491" s="4">
        <v>42773</v>
      </c>
      <c r="BD491">
        <v>0</v>
      </c>
      <c r="BN491" t="s">
        <v>74</v>
      </c>
    </row>
    <row r="492" spans="1:66">
      <c r="A492">
        <v>100695</v>
      </c>
      <c r="B492" t="s">
        <v>168</v>
      </c>
      <c r="C492" s="1">
        <v>43300101</v>
      </c>
      <c r="D492" t="s">
        <v>67</v>
      </c>
      <c r="H492" t="str">
        <f t="shared" si="62"/>
        <v>00721920155</v>
      </c>
      <c r="I492" t="str">
        <f t="shared" si="62"/>
        <v>00721920155</v>
      </c>
      <c r="K492" t="str">
        <f>""</f>
        <v/>
      </c>
      <c r="M492" t="s">
        <v>68</v>
      </c>
      <c r="N492" t="str">
        <f t="shared" si="61"/>
        <v>FOR</v>
      </c>
      <c r="O492" t="s">
        <v>69</v>
      </c>
      <c r="P492" t="s">
        <v>75</v>
      </c>
      <c r="Q492">
        <v>2016</v>
      </c>
      <c r="R492" s="4">
        <v>42522</v>
      </c>
      <c r="S492" s="2">
        <v>42534</v>
      </c>
      <c r="T492" s="2">
        <v>42530</v>
      </c>
      <c r="U492" s="4">
        <v>42590</v>
      </c>
      <c r="V492" t="s">
        <v>71</v>
      </c>
      <c r="W492" t="str">
        <f>"          5840122580"</f>
        <v xml:space="preserve">          5840122580</v>
      </c>
      <c r="X492">
        <v>119.6</v>
      </c>
      <c r="Y492">
        <v>0</v>
      </c>
      <c r="Z492" s="5">
        <v>115</v>
      </c>
      <c r="AA492" s="3">
        <v>183</v>
      </c>
      <c r="AB492" s="5">
        <v>21045</v>
      </c>
      <c r="AC492">
        <v>115</v>
      </c>
      <c r="AD492">
        <v>183</v>
      </c>
      <c r="AE492" s="1">
        <v>21045</v>
      </c>
      <c r="AF492">
        <v>0</v>
      </c>
      <c r="AJ492">
        <v>0</v>
      </c>
      <c r="AK492">
        <v>0</v>
      </c>
      <c r="AL492">
        <v>0</v>
      </c>
      <c r="AM492">
        <v>0</v>
      </c>
      <c r="AN492">
        <v>0</v>
      </c>
      <c r="AO492">
        <v>0</v>
      </c>
      <c r="AP492" s="2">
        <v>42831</v>
      </c>
      <c r="AQ492" t="s">
        <v>72</v>
      </c>
      <c r="AR492" t="s">
        <v>72</v>
      </c>
      <c r="AS492">
        <v>309</v>
      </c>
      <c r="AT492" s="4">
        <v>42773</v>
      </c>
      <c r="AU492" t="s">
        <v>73</v>
      </c>
      <c r="AV492">
        <v>309</v>
      </c>
      <c r="AW492" s="4">
        <v>42773</v>
      </c>
      <c r="BD492">
        <v>0</v>
      </c>
      <c r="BN492" t="s">
        <v>74</v>
      </c>
    </row>
    <row r="493" spans="1:66">
      <c r="A493">
        <v>100695</v>
      </c>
      <c r="B493" t="s">
        <v>168</v>
      </c>
      <c r="C493" s="1">
        <v>43300101</v>
      </c>
      <c r="D493" t="s">
        <v>67</v>
      </c>
      <c r="H493" t="str">
        <f t="shared" si="62"/>
        <v>00721920155</v>
      </c>
      <c r="I493" t="str">
        <f t="shared" si="62"/>
        <v>00721920155</v>
      </c>
      <c r="K493" t="str">
        <f>""</f>
        <v/>
      </c>
      <c r="M493" t="s">
        <v>68</v>
      </c>
      <c r="N493" t="str">
        <f t="shared" si="61"/>
        <v>FOR</v>
      </c>
      <c r="O493" t="s">
        <v>69</v>
      </c>
      <c r="P493" t="s">
        <v>75</v>
      </c>
      <c r="Q493">
        <v>2016</v>
      </c>
      <c r="R493" s="4">
        <v>42522</v>
      </c>
      <c r="S493" s="2">
        <v>42534</v>
      </c>
      <c r="T493" s="2">
        <v>42530</v>
      </c>
      <c r="U493" s="4">
        <v>42590</v>
      </c>
      <c r="V493" t="s">
        <v>71</v>
      </c>
      <c r="W493" t="str">
        <f>"          5840122584"</f>
        <v xml:space="preserve">          5840122584</v>
      </c>
      <c r="X493">
        <v>119.6</v>
      </c>
      <c r="Y493">
        <v>0</v>
      </c>
      <c r="Z493" s="5">
        <v>115</v>
      </c>
      <c r="AA493" s="3">
        <v>183</v>
      </c>
      <c r="AB493" s="5">
        <v>21045</v>
      </c>
      <c r="AC493">
        <v>115</v>
      </c>
      <c r="AD493">
        <v>183</v>
      </c>
      <c r="AE493" s="1">
        <v>21045</v>
      </c>
      <c r="AF493">
        <v>0</v>
      </c>
      <c r="AJ493">
        <v>0</v>
      </c>
      <c r="AK493">
        <v>0</v>
      </c>
      <c r="AL493">
        <v>0</v>
      </c>
      <c r="AM493">
        <v>0</v>
      </c>
      <c r="AN493">
        <v>0</v>
      </c>
      <c r="AO493">
        <v>0</v>
      </c>
      <c r="AP493" s="2">
        <v>42831</v>
      </c>
      <c r="AQ493" t="s">
        <v>72</v>
      </c>
      <c r="AR493" t="s">
        <v>72</v>
      </c>
      <c r="AS493">
        <v>309</v>
      </c>
      <c r="AT493" s="4">
        <v>42773</v>
      </c>
      <c r="AU493" t="s">
        <v>73</v>
      </c>
      <c r="AV493">
        <v>309</v>
      </c>
      <c r="AW493" s="4">
        <v>42773</v>
      </c>
      <c r="BD493">
        <v>0</v>
      </c>
      <c r="BN493" t="s">
        <v>74</v>
      </c>
    </row>
    <row r="494" spans="1:66">
      <c r="A494">
        <v>100695</v>
      </c>
      <c r="B494" t="s">
        <v>168</v>
      </c>
      <c r="C494" s="1">
        <v>43300101</v>
      </c>
      <c r="D494" t="s">
        <v>67</v>
      </c>
      <c r="H494" t="str">
        <f t="shared" si="62"/>
        <v>00721920155</v>
      </c>
      <c r="I494" t="str">
        <f t="shared" si="62"/>
        <v>00721920155</v>
      </c>
      <c r="K494" t="str">
        <f>""</f>
        <v/>
      </c>
      <c r="M494" t="s">
        <v>68</v>
      </c>
      <c r="N494" t="str">
        <f t="shared" si="61"/>
        <v>FOR</v>
      </c>
      <c r="O494" t="s">
        <v>69</v>
      </c>
      <c r="P494" t="s">
        <v>75</v>
      </c>
      <c r="Q494">
        <v>2016</v>
      </c>
      <c r="R494" s="4">
        <v>42522</v>
      </c>
      <c r="S494" s="2">
        <v>42534</v>
      </c>
      <c r="T494" s="2">
        <v>42530</v>
      </c>
      <c r="U494" s="4">
        <v>42590</v>
      </c>
      <c r="V494" t="s">
        <v>71</v>
      </c>
      <c r="W494" t="str">
        <f>"          5840122585"</f>
        <v xml:space="preserve">          5840122585</v>
      </c>
      <c r="X494">
        <v>119.6</v>
      </c>
      <c r="Y494">
        <v>0</v>
      </c>
      <c r="Z494" s="5">
        <v>115</v>
      </c>
      <c r="AA494" s="3">
        <v>183</v>
      </c>
      <c r="AB494" s="5">
        <v>21045</v>
      </c>
      <c r="AC494">
        <v>115</v>
      </c>
      <c r="AD494">
        <v>183</v>
      </c>
      <c r="AE494" s="1">
        <v>21045</v>
      </c>
      <c r="AF494">
        <v>0</v>
      </c>
      <c r="AJ494">
        <v>0</v>
      </c>
      <c r="AK494">
        <v>0</v>
      </c>
      <c r="AL494">
        <v>0</v>
      </c>
      <c r="AM494">
        <v>0</v>
      </c>
      <c r="AN494">
        <v>0</v>
      </c>
      <c r="AO494">
        <v>0</v>
      </c>
      <c r="AP494" s="2">
        <v>42831</v>
      </c>
      <c r="AQ494" t="s">
        <v>72</v>
      </c>
      <c r="AR494" t="s">
        <v>72</v>
      </c>
      <c r="AS494">
        <v>309</v>
      </c>
      <c r="AT494" s="4">
        <v>42773</v>
      </c>
      <c r="AU494" t="s">
        <v>73</v>
      </c>
      <c r="AV494">
        <v>309</v>
      </c>
      <c r="AW494" s="4">
        <v>42773</v>
      </c>
      <c r="BD494">
        <v>0</v>
      </c>
      <c r="BN494" t="s">
        <v>74</v>
      </c>
    </row>
    <row r="495" spans="1:66">
      <c r="A495">
        <v>100695</v>
      </c>
      <c r="B495" t="s">
        <v>168</v>
      </c>
      <c r="C495" s="1">
        <v>43300101</v>
      </c>
      <c r="D495" t="s">
        <v>67</v>
      </c>
      <c r="H495" t="str">
        <f t="shared" si="62"/>
        <v>00721920155</v>
      </c>
      <c r="I495" t="str">
        <f t="shared" si="62"/>
        <v>00721920155</v>
      </c>
      <c r="K495" t="str">
        <f>""</f>
        <v/>
      </c>
      <c r="M495" t="s">
        <v>68</v>
      </c>
      <c r="N495" t="str">
        <f t="shared" si="61"/>
        <v>FOR</v>
      </c>
      <c r="O495" t="s">
        <v>69</v>
      </c>
      <c r="P495" t="s">
        <v>75</v>
      </c>
      <c r="Q495">
        <v>2016</v>
      </c>
      <c r="R495" s="4">
        <v>42522</v>
      </c>
      <c r="S495" s="2">
        <v>42534</v>
      </c>
      <c r="T495" s="2">
        <v>42530</v>
      </c>
      <c r="U495" s="4">
        <v>42590</v>
      </c>
      <c r="V495" t="s">
        <v>71</v>
      </c>
      <c r="W495" t="str">
        <f>"          5840122586"</f>
        <v xml:space="preserve">          5840122586</v>
      </c>
      <c r="X495">
        <v>119.6</v>
      </c>
      <c r="Y495">
        <v>0</v>
      </c>
      <c r="Z495" s="5">
        <v>115</v>
      </c>
      <c r="AA495" s="3">
        <v>183</v>
      </c>
      <c r="AB495" s="5">
        <v>21045</v>
      </c>
      <c r="AC495">
        <v>115</v>
      </c>
      <c r="AD495">
        <v>183</v>
      </c>
      <c r="AE495" s="1">
        <v>21045</v>
      </c>
      <c r="AF495">
        <v>0</v>
      </c>
      <c r="AJ495">
        <v>0</v>
      </c>
      <c r="AK495">
        <v>0</v>
      </c>
      <c r="AL495">
        <v>0</v>
      </c>
      <c r="AM495">
        <v>0</v>
      </c>
      <c r="AN495">
        <v>0</v>
      </c>
      <c r="AO495">
        <v>0</v>
      </c>
      <c r="AP495" s="2">
        <v>42831</v>
      </c>
      <c r="AQ495" t="s">
        <v>72</v>
      </c>
      <c r="AR495" t="s">
        <v>72</v>
      </c>
      <c r="AS495">
        <v>309</v>
      </c>
      <c r="AT495" s="4">
        <v>42773</v>
      </c>
      <c r="AU495" t="s">
        <v>73</v>
      </c>
      <c r="AV495">
        <v>309</v>
      </c>
      <c r="AW495" s="4">
        <v>42773</v>
      </c>
      <c r="BD495">
        <v>0</v>
      </c>
      <c r="BN495" t="s">
        <v>74</v>
      </c>
    </row>
    <row r="496" spans="1:66">
      <c r="A496">
        <v>100695</v>
      </c>
      <c r="B496" t="s">
        <v>168</v>
      </c>
      <c r="C496" s="1">
        <v>43300101</v>
      </c>
      <c r="D496" t="s">
        <v>67</v>
      </c>
      <c r="H496" t="str">
        <f t="shared" si="62"/>
        <v>00721920155</v>
      </c>
      <c r="I496" t="str">
        <f t="shared" si="62"/>
        <v>00721920155</v>
      </c>
      <c r="K496" t="str">
        <f>""</f>
        <v/>
      </c>
      <c r="M496" t="s">
        <v>68</v>
      </c>
      <c r="N496" t="str">
        <f t="shared" si="61"/>
        <v>FOR</v>
      </c>
      <c r="O496" t="s">
        <v>69</v>
      </c>
      <c r="P496" t="s">
        <v>75</v>
      </c>
      <c r="Q496">
        <v>2016</v>
      </c>
      <c r="R496" s="4">
        <v>42528</v>
      </c>
      <c r="S496" s="2">
        <v>42534</v>
      </c>
      <c r="T496" s="2">
        <v>42530</v>
      </c>
      <c r="U496" s="4">
        <v>42590</v>
      </c>
      <c r="V496" t="s">
        <v>71</v>
      </c>
      <c r="W496" t="str">
        <f>"          5840122682"</f>
        <v xml:space="preserve">          5840122682</v>
      </c>
      <c r="X496">
        <v>119.6</v>
      </c>
      <c r="Y496">
        <v>0</v>
      </c>
      <c r="Z496" s="5">
        <v>115</v>
      </c>
      <c r="AA496" s="3">
        <v>183</v>
      </c>
      <c r="AB496" s="5">
        <v>21045</v>
      </c>
      <c r="AC496">
        <v>115</v>
      </c>
      <c r="AD496">
        <v>183</v>
      </c>
      <c r="AE496" s="1">
        <v>21045</v>
      </c>
      <c r="AF496">
        <v>0</v>
      </c>
      <c r="AJ496">
        <v>0</v>
      </c>
      <c r="AK496">
        <v>0</v>
      </c>
      <c r="AL496">
        <v>0</v>
      </c>
      <c r="AM496">
        <v>0</v>
      </c>
      <c r="AN496">
        <v>0</v>
      </c>
      <c r="AO496">
        <v>0</v>
      </c>
      <c r="AP496" s="2">
        <v>42831</v>
      </c>
      <c r="AQ496" t="s">
        <v>72</v>
      </c>
      <c r="AR496" t="s">
        <v>72</v>
      </c>
      <c r="AS496">
        <v>309</v>
      </c>
      <c r="AT496" s="4">
        <v>42773</v>
      </c>
      <c r="AU496" t="s">
        <v>73</v>
      </c>
      <c r="AV496">
        <v>309</v>
      </c>
      <c r="AW496" s="4">
        <v>42773</v>
      </c>
      <c r="BD496">
        <v>0</v>
      </c>
      <c r="BN496" t="s">
        <v>74</v>
      </c>
    </row>
    <row r="497" spans="1:66">
      <c r="A497">
        <v>100695</v>
      </c>
      <c r="B497" t="s">
        <v>168</v>
      </c>
      <c r="C497" s="1">
        <v>43300101</v>
      </c>
      <c r="D497" t="s">
        <v>67</v>
      </c>
      <c r="H497" t="str">
        <f t="shared" si="62"/>
        <v>00721920155</v>
      </c>
      <c r="I497" t="str">
        <f t="shared" si="62"/>
        <v>00721920155</v>
      </c>
      <c r="K497" t="str">
        <f>""</f>
        <v/>
      </c>
      <c r="M497" t="s">
        <v>68</v>
      </c>
      <c r="N497" t="str">
        <f t="shared" si="61"/>
        <v>FOR</v>
      </c>
      <c r="O497" t="s">
        <v>69</v>
      </c>
      <c r="P497" t="s">
        <v>75</v>
      </c>
      <c r="Q497">
        <v>2016</v>
      </c>
      <c r="R497" s="4">
        <v>42551</v>
      </c>
      <c r="S497" s="2">
        <v>42563</v>
      </c>
      <c r="T497" s="2">
        <v>42563</v>
      </c>
      <c r="U497" s="4">
        <v>42623</v>
      </c>
      <c r="V497" t="s">
        <v>71</v>
      </c>
      <c r="W497" t="str">
        <f>"          5840123931"</f>
        <v xml:space="preserve">          5840123931</v>
      </c>
      <c r="X497" s="1">
        <v>8119.1</v>
      </c>
      <c r="Y497">
        <v>0</v>
      </c>
      <c r="Z497" s="5">
        <v>6655</v>
      </c>
      <c r="AA497" s="3">
        <v>150</v>
      </c>
      <c r="AB497" s="5">
        <v>998250</v>
      </c>
      <c r="AC497" s="1">
        <v>6655</v>
      </c>
      <c r="AD497">
        <v>150</v>
      </c>
      <c r="AE497" s="1">
        <v>998250</v>
      </c>
      <c r="AF497">
        <v>0</v>
      </c>
      <c r="AJ497">
        <v>0</v>
      </c>
      <c r="AK497">
        <v>0</v>
      </c>
      <c r="AL497">
        <v>0</v>
      </c>
      <c r="AM497">
        <v>0</v>
      </c>
      <c r="AN497">
        <v>0</v>
      </c>
      <c r="AO497">
        <v>0</v>
      </c>
      <c r="AP497" s="2">
        <v>42831</v>
      </c>
      <c r="AQ497" t="s">
        <v>72</v>
      </c>
      <c r="AR497" t="s">
        <v>72</v>
      </c>
      <c r="AS497">
        <v>309</v>
      </c>
      <c r="AT497" s="4">
        <v>42773</v>
      </c>
      <c r="AU497" t="s">
        <v>73</v>
      </c>
      <c r="AV497">
        <v>309</v>
      </c>
      <c r="AW497" s="4">
        <v>42773</v>
      </c>
      <c r="BD497">
        <v>0</v>
      </c>
      <c r="BN497" t="s">
        <v>74</v>
      </c>
    </row>
    <row r="498" spans="1:66">
      <c r="A498">
        <v>100695</v>
      </c>
      <c r="B498" t="s">
        <v>168</v>
      </c>
      <c r="C498" s="1">
        <v>43300101</v>
      </c>
      <c r="D498" t="s">
        <v>67</v>
      </c>
      <c r="H498" t="str">
        <f t="shared" si="62"/>
        <v>00721920155</v>
      </c>
      <c r="I498" t="str">
        <f t="shared" si="62"/>
        <v>00721920155</v>
      </c>
      <c r="K498" t="str">
        <f>""</f>
        <v/>
      </c>
      <c r="M498" t="s">
        <v>68</v>
      </c>
      <c r="N498" t="str">
        <f t="shared" si="61"/>
        <v>FOR</v>
      </c>
      <c r="O498" t="s">
        <v>69</v>
      </c>
      <c r="P498" t="s">
        <v>75</v>
      </c>
      <c r="Q498">
        <v>2016</v>
      </c>
      <c r="R498" s="4">
        <v>42558</v>
      </c>
      <c r="S498" s="2">
        <v>42565</v>
      </c>
      <c r="T498" s="2">
        <v>42563</v>
      </c>
      <c r="U498" s="4">
        <v>42623</v>
      </c>
      <c r="V498" t="s">
        <v>71</v>
      </c>
      <c r="W498" t="str">
        <f>"          5840124199"</f>
        <v xml:space="preserve">          5840124199</v>
      </c>
      <c r="X498">
        <v>119.6</v>
      </c>
      <c r="Y498">
        <v>0</v>
      </c>
      <c r="Z498" s="5">
        <v>115</v>
      </c>
      <c r="AA498" s="3">
        <v>150</v>
      </c>
      <c r="AB498" s="5">
        <v>17250</v>
      </c>
      <c r="AC498">
        <v>115</v>
      </c>
      <c r="AD498">
        <v>150</v>
      </c>
      <c r="AE498" s="1">
        <v>17250</v>
      </c>
      <c r="AF498">
        <v>0</v>
      </c>
      <c r="AJ498">
        <v>0</v>
      </c>
      <c r="AK498">
        <v>0</v>
      </c>
      <c r="AL498">
        <v>0</v>
      </c>
      <c r="AM498">
        <v>0</v>
      </c>
      <c r="AN498">
        <v>0</v>
      </c>
      <c r="AO498">
        <v>0</v>
      </c>
      <c r="AP498" s="2">
        <v>42831</v>
      </c>
      <c r="AQ498" t="s">
        <v>72</v>
      </c>
      <c r="AR498" t="s">
        <v>72</v>
      </c>
      <c r="AS498">
        <v>309</v>
      </c>
      <c r="AT498" s="4">
        <v>42773</v>
      </c>
      <c r="AU498" t="s">
        <v>73</v>
      </c>
      <c r="AV498">
        <v>309</v>
      </c>
      <c r="AW498" s="4">
        <v>42773</v>
      </c>
      <c r="BD498">
        <v>0</v>
      </c>
      <c r="BN498" t="s">
        <v>74</v>
      </c>
    </row>
    <row r="499" spans="1:66">
      <c r="A499">
        <v>100695</v>
      </c>
      <c r="B499" t="s">
        <v>168</v>
      </c>
      <c r="C499" s="1">
        <v>43300101</v>
      </c>
      <c r="D499" t="s">
        <v>67</v>
      </c>
      <c r="H499" t="str">
        <f t="shared" si="62"/>
        <v>00721920155</v>
      </c>
      <c r="I499" t="str">
        <f t="shared" si="62"/>
        <v>00721920155</v>
      </c>
      <c r="K499" t="str">
        <f>""</f>
        <v/>
      </c>
      <c r="M499" t="s">
        <v>68</v>
      </c>
      <c r="N499" t="str">
        <f t="shared" si="61"/>
        <v>FOR</v>
      </c>
      <c r="O499" t="s">
        <v>69</v>
      </c>
      <c r="P499" t="s">
        <v>75</v>
      </c>
      <c r="Q499">
        <v>2016</v>
      </c>
      <c r="R499" s="4">
        <v>42558</v>
      </c>
      <c r="S499" s="2">
        <v>42565</v>
      </c>
      <c r="T499" s="2">
        <v>42563</v>
      </c>
      <c r="U499" s="4">
        <v>42623</v>
      </c>
      <c r="V499" t="s">
        <v>71</v>
      </c>
      <c r="W499" t="str">
        <f>"          5840124206"</f>
        <v xml:space="preserve">          5840124206</v>
      </c>
      <c r="X499">
        <v>119.6</v>
      </c>
      <c r="Y499">
        <v>0</v>
      </c>
      <c r="Z499" s="5">
        <v>115</v>
      </c>
      <c r="AA499" s="3">
        <v>150</v>
      </c>
      <c r="AB499" s="5">
        <v>17250</v>
      </c>
      <c r="AC499">
        <v>115</v>
      </c>
      <c r="AD499">
        <v>150</v>
      </c>
      <c r="AE499" s="1">
        <v>17250</v>
      </c>
      <c r="AF499">
        <v>0</v>
      </c>
      <c r="AJ499">
        <v>0</v>
      </c>
      <c r="AK499">
        <v>0</v>
      </c>
      <c r="AL499">
        <v>0</v>
      </c>
      <c r="AM499">
        <v>0</v>
      </c>
      <c r="AN499">
        <v>0</v>
      </c>
      <c r="AO499">
        <v>0</v>
      </c>
      <c r="AP499" s="2">
        <v>42831</v>
      </c>
      <c r="AQ499" t="s">
        <v>72</v>
      </c>
      <c r="AR499" t="s">
        <v>72</v>
      </c>
      <c r="AS499">
        <v>309</v>
      </c>
      <c r="AT499" s="4">
        <v>42773</v>
      </c>
      <c r="AU499" t="s">
        <v>73</v>
      </c>
      <c r="AV499">
        <v>309</v>
      </c>
      <c r="AW499" s="4">
        <v>42773</v>
      </c>
      <c r="BD499">
        <v>0</v>
      </c>
      <c r="BN499" t="s">
        <v>74</v>
      </c>
    </row>
    <row r="500" spans="1:66">
      <c r="A500">
        <v>100695</v>
      </c>
      <c r="B500" t="s">
        <v>168</v>
      </c>
      <c r="C500" s="1">
        <v>43300101</v>
      </c>
      <c r="D500" t="s">
        <v>67</v>
      </c>
      <c r="H500" t="str">
        <f t="shared" si="62"/>
        <v>00721920155</v>
      </c>
      <c r="I500" t="str">
        <f t="shared" si="62"/>
        <v>00721920155</v>
      </c>
      <c r="K500" t="str">
        <f>""</f>
        <v/>
      </c>
      <c r="M500" t="s">
        <v>68</v>
      </c>
      <c r="N500" t="str">
        <f t="shared" si="61"/>
        <v>FOR</v>
      </c>
      <c r="O500" t="s">
        <v>69</v>
      </c>
      <c r="P500" t="s">
        <v>75</v>
      </c>
      <c r="Q500">
        <v>2016</v>
      </c>
      <c r="R500" s="4">
        <v>42558</v>
      </c>
      <c r="S500" s="2">
        <v>42565</v>
      </c>
      <c r="T500" s="2">
        <v>42563</v>
      </c>
      <c r="U500" s="4">
        <v>42623</v>
      </c>
      <c r="V500" t="s">
        <v>71</v>
      </c>
      <c r="W500" t="str">
        <f>"          5840124211"</f>
        <v xml:space="preserve">          5840124211</v>
      </c>
      <c r="X500">
        <v>119.6</v>
      </c>
      <c r="Y500">
        <v>0</v>
      </c>
      <c r="Z500" s="5">
        <v>115</v>
      </c>
      <c r="AA500" s="3">
        <v>150</v>
      </c>
      <c r="AB500" s="5">
        <v>17250</v>
      </c>
      <c r="AC500">
        <v>115</v>
      </c>
      <c r="AD500">
        <v>150</v>
      </c>
      <c r="AE500" s="1">
        <v>17250</v>
      </c>
      <c r="AF500">
        <v>0</v>
      </c>
      <c r="AJ500">
        <v>0</v>
      </c>
      <c r="AK500">
        <v>0</v>
      </c>
      <c r="AL500">
        <v>0</v>
      </c>
      <c r="AM500">
        <v>0</v>
      </c>
      <c r="AN500">
        <v>0</v>
      </c>
      <c r="AO500">
        <v>0</v>
      </c>
      <c r="AP500" s="2">
        <v>42831</v>
      </c>
      <c r="AQ500" t="s">
        <v>72</v>
      </c>
      <c r="AR500" t="s">
        <v>72</v>
      </c>
      <c r="AS500">
        <v>309</v>
      </c>
      <c r="AT500" s="4">
        <v>42773</v>
      </c>
      <c r="AU500" t="s">
        <v>73</v>
      </c>
      <c r="AV500">
        <v>309</v>
      </c>
      <c r="AW500" s="4">
        <v>42773</v>
      </c>
      <c r="BD500">
        <v>0</v>
      </c>
      <c r="BN500" t="s">
        <v>74</v>
      </c>
    </row>
    <row r="501" spans="1:66">
      <c r="A501">
        <v>100695</v>
      </c>
      <c r="B501" t="s">
        <v>168</v>
      </c>
      <c r="C501" s="1">
        <v>43300101</v>
      </c>
      <c r="D501" t="s">
        <v>67</v>
      </c>
      <c r="H501" t="str">
        <f t="shared" si="62"/>
        <v>00721920155</v>
      </c>
      <c r="I501" t="str">
        <f t="shared" si="62"/>
        <v>00721920155</v>
      </c>
      <c r="K501" t="str">
        <f>""</f>
        <v/>
      </c>
      <c r="M501" t="s">
        <v>68</v>
      </c>
      <c r="N501" t="str">
        <f t="shared" ref="N501:N532" si="63">"FOR"</f>
        <v>FOR</v>
      </c>
      <c r="O501" t="s">
        <v>69</v>
      </c>
      <c r="P501" t="s">
        <v>75</v>
      </c>
      <c r="Q501">
        <v>2016</v>
      </c>
      <c r="R501" s="4">
        <v>42558</v>
      </c>
      <c r="S501" s="2">
        <v>42565</v>
      </c>
      <c r="T501" s="2">
        <v>42563</v>
      </c>
      <c r="U501" s="4">
        <v>42623</v>
      </c>
      <c r="V501" t="s">
        <v>71</v>
      </c>
      <c r="W501" t="str">
        <f>"          5840124216"</f>
        <v xml:space="preserve">          5840124216</v>
      </c>
      <c r="X501">
        <v>119.6</v>
      </c>
      <c r="Y501">
        <v>0</v>
      </c>
      <c r="Z501" s="5">
        <v>115</v>
      </c>
      <c r="AA501" s="3">
        <v>150</v>
      </c>
      <c r="AB501" s="5">
        <v>17250</v>
      </c>
      <c r="AC501">
        <v>115</v>
      </c>
      <c r="AD501">
        <v>150</v>
      </c>
      <c r="AE501" s="1">
        <v>17250</v>
      </c>
      <c r="AF501">
        <v>0</v>
      </c>
      <c r="AJ501">
        <v>0</v>
      </c>
      <c r="AK501">
        <v>0</v>
      </c>
      <c r="AL501">
        <v>0</v>
      </c>
      <c r="AM501">
        <v>0</v>
      </c>
      <c r="AN501">
        <v>0</v>
      </c>
      <c r="AO501">
        <v>0</v>
      </c>
      <c r="AP501" s="2">
        <v>42831</v>
      </c>
      <c r="AQ501" t="s">
        <v>72</v>
      </c>
      <c r="AR501" t="s">
        <v>72</v>
      </c>
      <c r="AS501">
        <v>309</v>
      </c>
      <c r="AT501" s="4">
        <v>42773</v>
      </c>
      <c r="AU501" t="s">
        <v>73</v>
      </c>
      <c r="AV501">
        <v>309</v>
      </c>
      <c r="AW501" s="4">
        <v>42773</v>
      </c>
      <c r="BD501">
        <v>0</v>
      </c>
      <c r="BN501" t="s">
        <v>74</v>
      </c>
    </row>
    <row r="502" spans="1:66">
      <c r="A502">
        <v>100695</v>
      </c>
      <c r="B502" t="s">
        <v>168</v>
      </c>
      <c r="C502" s="1">
        <v>43300101</v>
      </c>
      <c r="D502" t="s">
        <v>67</v>
      </c>
      <c r="H502" t="str">
        <f t="shared" si="62"/>
        <v>00721920155</v>
      </c>
      <c r="I502" t="str">
        <f t="shared" si="62"/>
        <v>00721920155</v>
      </c>
      <c r="K502" t="str">
        <f>""</f>
        <v/>
      </c>
      <c r="M502" t="s">
        <v>68</v>
      </c>
      <c r="N502" t="str">
        <f t="shared" si="63"/>
        <v>FOR</v>
      </c>
      <c r="O502" t="s">
        <v>69</v>
      </c>
      <c r="P502" t="s">
        <v>75</v>
      </c>
      <c r="Q502">
        <v>2016</v>
      </c>
      <c r="R502" s="4">
        <v>42559</v>
      </c>
      <c r="S502" s="2">
        <v>42565</v>
      </c>
      <c r="T502" s="2">
        <v>42563</v>
      </c>
      <c r="U502" s="4">
        <v>42623</v>
      </c>
      <c r="V502" t="s">
        <v>71</v>
      </c>
      <c r="W502" t="str">
        <f>"          5840124223"</f>
        <v xml:space="preserve">          5840124223</v>
      </c>
      <c r="X502">
        <v>119.6</v>
      </c>
      <c r="Y502">
        <v>0</v>
      </c>
      <c r="Z502" s="5">
        <v>115</v>
      </c>
      <c r="AA502" s="3">
        <v>150</v>
      </c>
      <c r="AB502" s="5">
        <v>17250</v>
      </c>
      <c r="AC502">
        <v>115</v>
      </c>
      <c r="AD502">
        <v>150</v>
      </c>
      <c r="AE502" s="1">
        <v>17250</v>
      </c>
      <c r="AF502">
        <v>0</v>
      </c>
      <c r="AJ502">
        <v>0</v>
      </c>
      <c r="AK502">
        <v>0</v>
      </c>
      <c r="AL502">
        <v>0</v>
      </c>
      <c r="AM502">
        <v>0</v>
      </c>
      <c r="AN502">
        <v>0</v>
      </c>
      <c r="AO502">
        <v>0</v>
      </c>
      <c r="AP502" s="2">
        <v>42831</v>
      </c>
      <c r="AQ502" t="s">
        <v>72</v>
      </c>
      <c r="AR502" t="s">
        <v>72</v>
      </c>
      <c r="AS502">
        <v>309</v>
      </c>
      <c r="AT502" s="4">
        <v>42773</v>
      </c>
      <c r="AU502" t="s">
        <v>73</v>
      </c>
      <c r="AV502">
        <v>309</v>
      </c>
      <c r="AW502" s="4">
        <v>42773</v>
      </c>
      <c r="BD502">
        <v>0</v>
      </c>
      <c r="BN502" t="s">
        <v>74</v>
      </c>
    </row>
    <row r="503" spans="1:66">
      <c r="A503">
        <v>100695</v>
      </c>
      <c r="B503" t="s">
        <v>168</v>
      </c>
      <c r="C503" s="1">
        <v>43300101</v>
      </c>
      <c r="D503" t="s">
        <v>67</v>
      </c>
      <c r="H503" t="str">
        <f t="shared" si="62"/>
        <v>00721920155</v>
      </c>
      <c r="I503" t="str">
        <f t="shared" si="62"/>
        <v>00721920155</v>
      </c>
      <c r="K503" t="str">
        <f>""</f>
        <v/>
      </c>
      <c r="M503" t="s">
        <v>68</v>
      </c>
      <c r="N503" t="str">
        <f t="shared" si="63"/>
        <v>FOR</v>
      </c>
      <c r="O503" t="s">
        <v>69</v>
      </c>
      <c r="P503" t="s">
        <v>75</v>
      </c>
      <c r="Q503">
        <v>2016</v>
      </c>
      <c r="R503" s="4">
        <v>42559</v>
      </c>
      <c r="S503" s="2">
        <v>42566</v>
      </c>
      <c r="T503" s="2">
        <v>42563</v>
      </c>
      <c r="U503" s="4">
        <v>42623</v>
      </c>
      <c r="V503" t="s">
        <v>71</v>
      </c>
      <c r="W503" t="str">
        <f>"          5840124241"</f>
        <v xml:space="preserve">          5840124241</v>
      </c>
      <c r="X503">
        <v>119.6</v>
      </c>
      <c r="Y503">
        <v>0</v>
      </c>
      <c r="Z503" s="5">
        <v>115</v>
      </c>
      <c r="AA503" s="3">
        <v>150</v>
      </c>
      <c r="AB503" s="5">
        <v>17250</v>
      </c>
      <c r="AC503">
        <v>115</v>
      </c>
      <c r="AD503">
        <v>150</v>
      </c>
      <c r="AE503" s="1">
        <v>17250</v>
      </c>
      <c r="AF503">
        <v>0</v>
      </c>
      <c r="AJ503">
        <v>0</v>
      </c>
      <c r="AK503">
        <v>0</v>
      </c>
      <c r="AL503">
        <v>0</v>
      </c>
      <c r="AM503">
        <v>0</v>
      </c>
      <c r="AN503">
        <v>0</v>
      </c>
      <c r="AO503">
        <v>0</v>
      </c>
      <c r="AP503" s="2">
        <v>42831</v>
      </c>
      <c r="AQ503" t="s">
        <v>72</v>
      </c>
      <c r="AR503" t="s">
        <v>72</v>
      </c>
      <c r="AS503">
        <v>309</v>
      </c>
      <c r="AT503" s="4">
        <v>42773</v>
      </c>
      <c r="AU503" t="s">
        <v>73</v>
      </c>
      <c r="AV503">
        <v>309</v>
      </c>
      <c r="AW503" s="4">
        <v>42773</v>
      </c>
      <c r="BD503">
        <v>0</v>
      </c>
      <c r="BN503" t="s">
        <v>74</v>
      </c>
    </row>
    <row r="504" spans="1:66">
      <c r="A504">
        <v>100695</v>
      </c>
      <c r="B504" t="s">
        <v>168</v>
      </c>
      <c r="C504" s="1">
        <v>43300101</v>
      </c>
      <c r="D504" t="s">
        <v>67</v>
      </c>
      <c r="H504" t="str">
        <f t="shared" si="62"/>
        <v>00721920155</v>
      </c>
      <c r="I504" t="str">
        <f t="shared" si="62"/>
        <v>00721920155</v>
      </c>
      <c r="K504" t="str">
        <f>""</f>
        <v/>
      </c>
      <c r="M504" t="s">
        <v>68</v>
      </c>
      <c r="N504" t="str">
        <f t="shared" si="63"/>
        <v>FOR</v>
      </c>
      <c r="O504" t="s">
        <v>69</v>
      </c>
      <c r="P504" t="s">
        <v>75</v>
      </c>
      <c r="Q504">
        <v>2016</v>
      </c>
      <c r="R504" s="4">
        <v>42559</v>
      </c>
      <c r="S504" s="2">
        <v>42565</v>
      </c>
      <c r="T504" s="2">
        <v>42563</v>
      </c>
      <c r="U504" s="4">
        <v>42623</v>
      </c>
      <c r="V504" t="s">
        <v>71</v>
      </c>
      <c r="W504" t="str">
        <f>"          5840124253"</f>
        <v xml:space="preserve">          5840124253</v>
      </c>
      <c r="X504">
        <v>119.6</v>
      </c>
      <c r="Y504">
        <v>0</v>
      </c>
      <c r="Z504" s="5">
        <v>115</v>
      </c>
      <c r="AA504" s="3">
        <v>150</v>
      </c>
      <c r="AB504" s="5">
        <v>17250</v>
      </c>
      <c r="AC504">
        <v>115</v>
      </c>
      <c r="AD504">
        <v>150</v>
      </c>
      <c r="AE504" s="1">
        <v>17250</v>
      </c>
      <c r="AF504">
        <v>0</v>
      </c>
      <c r="AJ504">
        <v>0</v>
      </c>
      <c r="AK504">
        <v>0</v>
      </c>
      <c r="AL504">
        <v>0</v>
      </c>
      <c r="AM504">
        <v>0</v>
      </c>
      <c r="AN504">
        <v>0</v>
      </c>
      <c r="AO504">
        <v>0</v>
      </c>
      <c r="AP504" s="2">
        <v>42831</v>
      </c>
      <c r="AQ504" t="s">
        <v>72</v>
      </c>
      <c r="AR504" t="s">
        <v>72</v>
      </c>
      <c r="AS504">
        <v>309</v>
      </c>
      <c r="AT504" s="4">
        <v>42773</v>
      </c>
      <c r="AU504" t="s">
        <v>73</v>
      </c>
      <c r="AV504">
        <v>309</v>
      </c>
      <c r="AW504" s="4">
        <v>42773</v>
      </c>
      <c r="BD504">
        <v>0</v>
      </c>
      <c r="BN504" t="s">
        <v>74</v>
      </c>
    </row>
    <row r="505" spans="1:66">
      <c r="A505">
        <v>100695</v>
      </c>
      <c r="B505" t="s">
        <v>168</v>
      </c>
      <c r="C505" s="1">
        <v>43300101</v>
      </c>
      <c r="D505" t="s">
        <v>67</v>
      </c>
      <c r="H505" t="str">
        <f t="shared" si="62"/>
        <v>00721920155</v>
      </c>
      <c r="I505" t="str">
        <f t="shared" si="62"/>
        <v>00721920155</v>
      </c>
      <c r="K505" t="str">
        <f>""</f>
        <v/>
      </c>
      <c r="M505" t="s">
        <v>68</v>
      </c>
      <c r="N505" t="str">
        <f t="shared" si="63"/>
        <v>FOR</v>
      </c>
      <c r="O505" t="s">
        <v>69</v>
      </c>
      <c r="P505" t="s">
        <v>75</v>
      </c>
      <c r="Q505">
        <v>2016</v>
      </c>
      <c r="R505" s="4">
        <v>42559</v>
      </c>
      <c r="S505" s="2">
        <v>42565</v>
      </c>
      <c r="T505" s="2">
        <v>42563</v>
      </c>
      <c r="U505" s="4">
        <v>42623</v>
      </c>
      <c r="V505" t="s">
        <v>71</v>
      </c>
      <c r="W505" t="str">
        <f>"          5840124258"</f>
        <v xml:space="preserve">          5840124258</v>
      </c>
      <c r="X505">
        <v>119.6</v>
      </c>
      <c r="Y505">
        <v>0</v>
      </c>
      <c r="Z505" s="5">
        <v>115</v>
      </c>
      <c r="AA505" s="3">
        <v>150</v>
      </c>
      <c r="AB505" s="5">
        <v>17250</v>
      </c>
      <c r="AC505">
        <v>115</v>
      </c>
      <c r="AD505">
        <v>150</v>
      </c>
      <c r="AE505" s="1">
        <v>17250</v>
      </c>
      <c r="AF505">
        <v>0</v>
      </c>
      <c r="AJ505">
        <v>0</v>
      </c>
      <c r="AK505">
        <v>0</v>
      </c>
      <c r="AL505">
        <v>0</v>
      </c>
      <c r="AM505">
        <v>0</v>
      </c>
      <c r="AN505">
        <v>0</v>
      </c>
      <c r="AO505">
        <v>0</v>
      </c>
      <c r="AP505" s="2">
        <v>42831</v>
      </c>
      <c r="AQ505" t="s">
        <v>72</v>
      </c>
      <c r="AR505" t="s">
        <v>72</v>
      </c>
      <c r="AS505">
        <v>309</v>
      </c>
      <c r="AT505" s="4">
        <v>42773</v>
      </c>
      <c r="AU505" t="s">
        <v>73</v>
      </c>
      <c r="AV505">
        <v>309</v>
      </c>
      <c r="AW505" s="4">
        <v>42773</v>
      </c>
      <c r="BD505">
        <v>0</v>
      </c>
      <c r="BN505" t="s">
        <v>74</v>
      </c>
    </row>
    <row r="506" spans="1:66">
      <c r="A506">
        <v>100695</v>
      </c>
      <c r="B506" t="s">
        <v>168</v>
      </c>
      <c r="C506" s="1">
        <v>43300101</v>
      </c>
      <c r="D506" t="s">
        <v>67</v>
      </c>
      <c r="H506" t="str">
        <f t="shared" si="62"/>
        <v>00721920155</v>
      </c>
      <c r="I506" t="str">
        <f t="shared" si="62"/>
        <v>00721920155</v>
      </c>
      <c r="K506" t="str">
        <f>""</f>
        <v/>
      </c>
      <c r="M506" t="s">
        <v>68</v>
      </c>
      <c r="N506" t="str">
        <f t="shared" si="63"/>
        <v>FOR</v>
      </c>
      <c r="O506" t="s">
        <v>69</v>
      </c>
      <c r="P506" t="s">
        <v>75</v>
      </c>
      <c r="Q506">
        <v>2016</v>
      </c>
      <c r="R506" s="4">
        <v>42559</v>
      </c>
      <c r="S506" s="2">
        <v>42565</v>
      </c>
      <c r="T506" s="2">
        <v>42563</v>
      </c>
      <c r="U506" s="4">
        <v>42623</v>
      </c>
      <c r="V506" t="s">
        <v>71</v>
      </c>
      <c r="W506" t="str">
        <f>"          5840124260"</f>
        <v xml:space="preserve">          5840124260</v>
      </c>
      <c r="X506">
        <v>119.6</v>
      </c>
      <c r="Y506">
        <v>0</v>
      </c>
      <c r="Z506" s="5">
        <v>115</v>
      </c>
      <c r="AA506" s="3">
        <v>150</v>
      </c>
      <c r="AB506" s="5">
        <v>17250</v>
      </c>
      <c r="AC506">
        <v>115</v>
      </c>
      <c r="AD506">
        <v>150</v>
      </c>
      <c r="AE506" s="1">
        <v>17250</v>
      </c>
      <c r="AF506">
        <v>0</v>
      </c>
      <c r="AJ506">
        <v>0</v>
      </c>
      <c r="AK506">
        <v>0</v>
      </c>
      <c r="AL506">
        <v>0</v>
      </c>
      <c r="AM506">
        <v>0</v>
      </c>
      <c r="AN506">
        <v>0</v>
      </c>
      <c r="AO506">
        <v>0</v>
      </c>
      <c r="AP506" s="2">
        <v>42831</v>
      </c>
      <c r="AQ506" t="s">
        <v>72</v>
      </c>
      <c r="AR506" t="s">
        <v>72</v>
      </c>
      <c r="AS506">
        <v>309</v>
      </c>
      <c r="AT506" s="4">
        <v>42773</v>
      </c>
      <c r="AU506" t="s">
        <v>73</v>
      </c>
      <c r="AV506">
        <v>309</v>
      </c>
      <c r="AW506" s="4">
        <v>42773</v>
      </c>
      <c r="BD506">
        <v>0</v>
      </c>
      <c r="BN506" t="s">
        <v>74</v>
      </c>
    </row>
    <row r="507" spans="1:66">
      <c r="A507">
        <v>100695</v>
      </c>
      <c r="B507" t="s">
        <v>168</v>
      </c>
      <c r="C507" s="1">
        <v>43300101</v>
      </c>
      <c r="D507" t="s">
        <v>67</v>
      </c>
      <c r="H507" t="str">
        <f t="shared" si="62"/>
        <v>00721920155</v>
      </c>
      <c r="I507" t="str">
        <f t="shared" si="62"/>
        <v>00721920155</v>
      </c>
      <c r="K507" t="str">
        <f>""</f>
        <v/>
      </c>
      <c r="M507" t="s">
        <v>68</v>
      </c>
      <c r="N507" t="str">
        <f t="shared" si="63"/>
        <v>FOR</v>
      </c>
      <c r="O507" t="s">
        <v>69</v>
      </c>
      <c r="P507" t="s">
        <v>75</v>
      </c>
      <c r="Q507">
        <v>2016</v>
      </c>
      <c r="R507" s="4">
        <v>42559</v>
      </c>
      <c r="S507" s="2">
        <v>42565</v>
      </c>
      <c r="T507" s="2">
        <v>42563</v>
      </c>
      <c r="U507" s="4">
        <v>42623</v>
      </c>
      <c r="V507" t="s">
        <v>71</v>
      </c>
      <c r="W507" t="str">
        <f>"          5840124261"</f>
        <v xml:space="preserve">          5840124261</v>
      </c>
      <c r="X507">
        <v>119.6</v>
      </c>
      <c r="Y507">
        <v>0</v>
      </c>
      <c r="Z507" s="5">
        <v>115</v>
      </c>
      <c r="AA507" s="3">
        <v>150</v>
      </c>
      <c r="AB507" s="5">
        <v>17250</v>
      </c>
      <c r="AC507">
        <v>115</v>
      </c>
      <c r="AD507">
        <v>150</v>
      </c>
      <c r="AE507" s="1">
        <v>17250</v>
      </c>
      <c r="AF507">
        <v>0</v>
      </c>
      <c r="AJ507">
        <v>0</v>
      </c>
      <c r="AK507">
        <v>0</v>
      </c>
      <c r="AL507">
        <v>0</v>
      </c>
      <c r="AM507">
        <v>0</v>
      </c>
      <c r="AN507">
        <v>0</v>
      </c>
      <c r="AO507">
        <v>0</v>
      </c>
      <c r="AP507" s="2">
        <v>42831</v>
      </c>
      <c r="AQ507" t="s">
        <v>72</v>
      </c>
      <c r="AR507" t="s">
        <v>72</v>
      </c>
      <c r="AS507">
        <v>309</v>
      </c>
      <c r="AT507" s="4">
        <v>42773</v>
      </c>
      <c r="AU507" t="s">
        <v>73</v>
      </c>
      <c r="AV507">
        <v>309</v>
      </c>
      <c r="AW507" s="4">
        <v>42773</v>
      </c>
      <c r="BD507">
        <v>0</v>
      </c>
      <c r="BN507" t="s">
        <v>74</v>
      </c>
    </row>
    <row r="508" spans="1:66">
      <c r="A508">
        <v>100695</v>
      </c>
      <c r="B508" t="s">
        <v>168</v>
      </c>
      <c r="C508" s="1">
        <v>43300101</v>
      </c>
      <c r="D508" t="s">
        <v>67</v>
      </c>
      <c r="H508" t="str">
        <f t="shared" si="62"/>
        <v>00721920155</v>
      </c>
      <c r="I508" t="str">
        <f t="shared" si="62"/>
        <v>00721920155</v>
      </c>
      <c r="K508" t="str">
        <f>""</f>
        <v/>
      </c>
      <c r="M508" t="s">
        <v>68</v>
      </c>
      <c r="N508" t="str">
        <f t="shared" si="63"/>
        <v>FOR</v>
      </c>
      <c r="O508" t="s">
        <v>69</v>
      </c>
      <c r="P508" t="s">
        <v>75</v>
      </c>
      <c r="Q508">
        <v>2016</v>
      </c>
      <c r="R508" s="4">
        <v>42559</v>
      </c>
      <c r="S508" s="2">
        <v>42565</v>
      </c>
      <c r="T508" s="2">
        <v>42563</v>
      </c>
      <c r="U508" s="4">
        <v>42623</v>
      </c>
      <c r="V508" t="s">
        <v>71</v>
      </c>
      <c r="W508" t="str">
        <f>"          5840124264"</f>
        <v xml:space="preserve">          5840124264</v>
      </c>
      <c r="X508">
        <v>119.6</v>
      </c>
      <c r="Y508">
        <v>0</v>
      </c>
      <c r="Z508" s="5">
        <v>115</v>
      </c>
      <c r="AA508" s="3">
        <v>150</v>
      </c>
      <c r="AB508" s="5">
        <v>17250</v>
      </c>
      <c r="AC508">
        <v>115</v>
      </c>
      <c r="AD508">
        <v>150</v>
      </c>
      <c r="AE508" s="1">
        <v>17250</v>
      </c>
      <c r="AF508">
        <v>0</v>
      </c>
      <c r="AJ508">
        <v>0</v>
      </c>
      <c r="AK508">
        <v>0</v>
      </c>
      <c r="AL508">
        <v>0</v>
      </c>
      <c r="AM508">
        <v>0</v>
      </c>
      <c r="AN508">
        <v>0</v>
      </c>
      <c r="AO508">
        <v>0</v>
      </c>
      <c r="AP508" s="2">
        <v>42831</v>
      </c>
      <c r="AQ508" t="s">
        <v>72</v>
      </c>
      <c r="AR508" t="s">
        <v>72</v>
      </c>
      <c r="AS508">
        <v>309</v>
      </c>
      <c r="AT508" s="4">
        <v>42773</v>
      </c>
      <c r="AU508" t="s">
        <v>73</v>
      </c>
      <c r="AV508">
        <v>309</v>
      </c>
      <c r="AW508" s="4">
        <v>42773</v>
      </c>
      <c r="BD508">
        <v>0</v>
      </c>
      <c r="BN508" t="s">
        <v>74</v>
      </c>
    </row>
    <row r="509" spans="1:66">
      <c r="A509">
        <v>100695</v>
      </c>
      <c r="B509" t="s">
        <v>168</v>
      </c>
      <c r="C509" s="1">
        <v>43300101</v>
      </c>
      <c r="D509" t="s">
        <v>67</v>
      </c>
      <c r="H509" t="str">
        <f t="shared" ref="H509:I528" si="64">"00721920155"</f>
        <v>00721920155</v>
      </c>
      <c r="I509" t="str">
        <f t="shared" si="64"/>
        <v>00721920155</v>
      </c>
      <c r="K509" t="str">
        <f>""</f>
        <v/>
      </c>
      <c r="M509" t="s">
        <v>68</v>
      </c>
      <c r="N509" t="str">
        <f t="shared" si="63"/>
        <v>FOR</v>
      </c>
      <c r="O509" t="s">
        <v>69</v>
      </c>
      <c r="P509" t="s">
        <v>75</v>
      </c>
      <c r="Q509">
        <v>2016</v>
      </c>
      <c r="R509" s="4">
        <v>42559</v>
      </c>
      <c r="S509" s="2">
        <v>42565</v>
      </c>
      <c r="T509" s="2">
        <v>42563</v>
      </c>
      <c r="U509" s="4">
        <v>42623</v>
      </c>
      <c r="V509" t="s">
        <v>71</v>
      </c>
      <c r="W509" t="str">
        <f>"          5840124268"</f>
        <v xml:space="preserve">          5840124268</v>
      </c>
      <c r="X509">
        <v>119.6</v>
      </c>
      <c r="Y509">
        <v>0</v>
      </c>
      <c r="Z509" s="5">
        <v>115</v>
      </c>
      <c r="AA509" s="3">
        <v>150</v>
      </c>
      <c r="AB509" s="5">
        <v>17250</v>
      </c>
      <c r="AC509">
        <v>115</v>
      </c>
      <c r="AD509">
        <v>150</v>
      </c>
      <c r="AE509" s="1">
        <v>17250</v>
      </c>
      <c r="AF509">
        <v>0</v>
      </c>
      <c r="AJ509">
        <v>0</v>
      </c>
      <c r="AK509">
        <v>0</v>
      </c>
      <c r="AL509">
        <v>0</v>
      </c>
      <c r="AM509">
        <v>0</v>
      </c>
      <c r="AN509">
        <v>0</v>
      </c>
      <c r="AO509">
        <v>0</v>
      </c>
      <c r="AP509" s="2">
        <v>42831</v>
      </c>
      <c r="AQ509" t="s">
        <v>72</v>
      </c>
      <c r="AR509" t="s">
        <v>72</v>
      </c>
      <c r="AS509">
        <v>309</v>
      </c>
      <c r="AT509" s="4">
        <v>42773</v>
      </c>
      <c r="AU509" t="s">
        <v>73</v>
      </c>
      <c r="AV509">
        <v>309</v>
      </c>
      <c r="AW509" s="4">
        <v>42773</v>
      </c>
      <c r="BD509">
        <v>0</v>
      </c>
      <c r="BN509" t="s">
        <v>74</v>
      </c>
    </row>
    <row r="510" spans="1:66">
      <c r="A510">
        <v>100695</v>
      </c>
      <c r="B510" t="s">
        <v>168</v>
      </c>
      <c r="C510" s="1">
        <v>43300101</v>
      </c>
      <c r="D510" t="s">
        <v>67</v>
      </c>
      <c r="H510" t="str">
        <f t="shared" si="64"/>
        <v>00721920155</v>
      </c>
      <c r="I510" t="str">
        <f t="shared" si="64"/>
        <v>00721920155</v>
      </c>
      <c r="K510" t="str">
        <f>""</f>
        <v/>
      </c>
      <c r="M510" t="s">
        <v>68</v>
      </c>
      <c r="N510" t="str">
        <f t="shared" si="63"/>
        <v>FOR</v>
      </c>
      <c r="O510" t="s">
        <v>69</v>
      </c>
      <c r="P510" t="s">
        <v>75</v>
      </c>
      <c r="Q510">
        <v>2016</v>
      </c>
      <c r="R510" s="4">
        <v>42559</v>
      </c>
      <c r="S510" s="2">
        <v>42565</v>
      </c>
      <c r="T510" s="2">
        <v>42563</v>
      </c>
      <c r="U510" s="4">
        <v>42623</v>
      </c>
      <c r="V510" t="s">
        <v>71</v>
      </c>
      <c r="W510" t="str">
        <f>"          5840124273"</f>
        <v xml:space="preserve">          5840124273</v>
      </c>
      <c r="X510">
        <v>119.6</v>
      </c>
      <c r="Y510">
        <v>0</v>
      </c>
      <c r="Z510" s="5">
        <v>115</v>
      </c>
      <c r="AA510" s="3">
        <v>150</v>
      </c>
      <c r="AB510" s="5">
        <v>17250</v>
      </c>
      <c r="AC510">
        <v>115</v>
      </c>
      <c r="AD510">
        <v>150</v>
      </c>
      <c r="AE510" s="1">
        <v>17250</v>
      </c>
      <c r="AF510">
        <v>0</v>
      </c>
      <c r="AJ510">
        <v>0</v>
      </c>
      <c r="AK510">
        <v>0</v>
      </c>
      <c r="AL510">
        <v>0</v>
      </c>
      <c r="AM510">
        <v>0</v>
      </c>
      <c r="AN510">
        <v>0</v>
      </c>
      <c r="AO510">
        <v>0</v>
      </c>
      <c r="AP510" s="2">
        <v>42831</v>
      </c>
      <c r="AQ510" t="s">
        <v>72</v>
      </c>
      <c r="AR510" t="s">
        <v>72</v>
      </c>
      <c r="AS510">
        <v>309</v>
      </c>
      <c r="AT510" s="4">
        <v>42773</v>
      </c>
      <c r="AU510" t="s">
        <v>73</v>
      </c>
      <c r="AV510">
        <v>309</v>
      </c>
      <c r="AW510" s="4">
        <v>42773</v>
      </c>
      <c r="BD510">
        <v>0</v>
      </c>
      <c r="BN510" t="s">
        <v>74</v>
      </c>
    </row>
    <row r="511" spans="1:66">
      <c r="A511">
        <v>100695</v>
      </c>
      <c r="B511" t="s">
        <v>168</v>
      </c>
      <c r="C511" s="1">
        <v>43300101</v>
      </c>
      <c r="D511" t="s">
        <v>67</v>
      </c>
      <c r="H511" t="str">
        <f t="shared" si="64"/>
        <v>00721920155</v>
      </c>
      <c r="I511" t="str">
        <f t="shared" si="64"/>
        <v>00721920155</v>
      </c>
      <c r="K511" t="str">
        <f>""</f>
        <v/>
      </c>
      <c r="M511" t="s">
        <v>68</v>
      </c>
      <c r="N511" t="str">
        <f t="shared" si="63"/>
        <v>FOR</v>
      </c>
      <c r="O511" t="s">
        <v>69</v>
      </c>
      <c r="P511" t="s">
        <v>75</v>
      </c>
      <c r="Q511">
        <v>2016</v>
      </c>
      <c r="R511" s="4">
        <v>42559</v>
      </c>
      <c r="S511" s="2">
        <v>42565</v>
      </c>
      <c r="T511" s="2">
        <v>42563</v>
      </c>
      <c r="U511" s="4">
        <v>42623</v>
      </c>
      <c r="V511" t="s">
        <v>71</v>
      </c>
      <c r="W511" t="str">
        <f>"          5840124276"</f>
        <v xml:space="preserve">          5840124276</v>
      </c>
      <c r="X511">
        <v>119.6</v>
      </c>
      <c r="Y511">
        <v>0</v>
      </c>
      <c r="Z511" s="5">
        <v>115</v>
      </c>
      <c r="AA511" s="3">
        <v>150</v>
      </c>
      <c r="AB511" s="5">
        <v>17250</v>
      </c>
      <c r="AC511">
        <v>115</v>
      </c>
      <c r="AD511">
        <v>150</v>
      </c>
      <c r="AE511" s="1">
        <v>17250</v>
      </c>
      <c r="AF511">
        <v>0</v>
      </c>
      <c r="AJ511">
        <v>0</v>
      </c>
      <c r="AK511">
        <v>0</v>
      </c>
      <c r="AL511">
        <v>0</v>
      </c>
      <c r="AM511">
        <v>0</v>
      </c>
      <c r="AN511">
        <v>0</v>
      </c>
      <c r="AO511">
        <v>0</v>
      </c>
      <c r="AP511" s="2">
        <v>42831</v>
      </c>
      <c r="AQ511" t="s">
        <v>72</v>
      </c>
      <c r="AR511" t="s">
        <v>72</v>
      </c>
      <c r="AS511">
        <v>309</v>
      </c>
      <c r="AT511" s="4">
        <v>42773</v>
      </c>
      <c r="AU511" t="s">
        <v>73</v>
      </c>
      <c r="AV511">
        <v>309</v>
      </c>
      <c r="AW511" s="4">
        <v>42773</v>
      </c>
      <c r="BD511">
        <v>0</v>
      </c>
      <c r="BN511" t="s">
        <v>74</v>
      </c>
    </row>
    <row r="512" spans="1:66">
      <c r="A512">
        <v>100695</v>
      </c>
      <c r="B512" t="s">
        <v>168</v>
      </c>
      <c r="C512" s="1">
        <v>43300101</v>
      </c>
      <c r="D512" t="s">
        <v>67</v>
      </c>
      <c r="H512" t="str">
        <f t="shared" si="64"/>
        <v>00721920155</v>
      </c>
      <c r="I512" t="str">
        <f t="shared" si="64"/>
        <v>00721920155</v>
      </c>
      <c r="K512" t="str">
        <f>""</f>
        <v/>
      </c>
      <c r="M512" t="s">
        <v>68</v>
      </c>
      <c r="N512" t="str">
        <f t="shared" si="63"/>
        <v>FOR</v>
      </c>
      <c r="O512" t="s">
        <v>69</v>
      </c>
      <c r="P512" t="s">
        <v>75</v>
      </c>
      <c r="Q512">
        <v>2016</v>
      </c>
      <c r="R512" s="4">
        <v>42562</v>
      </c>
      <c r="S512" s="2">
        <v>42565</v>
      </c>
      <c r="T512" s="2">
        <v>42563</v>
      </c>
      <c r="U512" s="4">
        <v>42623</v>
      </c>
      <c r="V512" t="s">
        <v>71</v>
      </c>
      <c r="W512" t="str">
        <f>"          5840124281"</f>
        <v xml:space="preserve">          5840124281</v>
      </c>
      <c r="X512">
        <v>119.6</v>
      </c>
      <c r="Y512">
        <v>0</v>
      </c>
      <c r="Z512" s="5">
        <v>115</v>
      </c>
      <c r="AA512" s="3">
        <v>150</v>
      </c>
      <c r="AB512" s="5">
        <v>17250</v>
      </c>
      <c r="AC512">
        <v>115</v>
      </c>
      <c r="AD512">
        <v>150</v>
      </c>
      <c r="AE512" s="1">
        <v>17250</v>
      </c>
      <c r="AF512">
        <v>0</v>
      </c>
      <c r="AJ512">
        <v>0</v>
      </c>
      <c r="AK512">
        <v>0</v>
      </c>
      <c r="AL512">
        <v>0</v>
      </c>
      <c r="AM512">
        <v>0</v>
      </c>
      <c r="AN512">
        <v>0</v>
      </c>
      <c r="AO512">
        <v>0</v>
      </c>
      <c r="AP512" s="2">
        <v>42831</v>
      </c>
      <c r="AQ512" t="s">
        <v>72</v>
      </c>
      <c r="AR512" t="s">
        <v>72</v>
      </c>
      <c r="AS512">
        <v>309</v>
      </c>
      <c r="AT512" s="4">
        <v>42773</v>
      </c>
      <c r="AU512" t="s">
        <v>73</v>
      </c>
      <c r="AV512">
        <v>309</v>
      </c>
      <c r="AW512" s="4">
        <v>42773</v>
      </c>
      <c r="BD512">
        <v>0</v>
      </c>
      <c r="BN512" t="s">
        <v>74</v>
      </c>
    </row>
    <row r="513" spans="1:66">
      <c r="A513">
        <v>100695</v>
      </c>
      <c r="B513" t="s">
        <v>168</v>
      </c>
      <c r="C513" s="1">
        <v>43300101</v>
      </c>
      <c r="D513" t="s">
        <v>67</v>
      </c>
      <c r="H513" t="str">
        <f t="shared" si="64"/>
        <v>00721920155</v>
      </c>
      <c r="I513" t="str">
        <f t="shared" si="64"/>
        <v>00721920155</v>
      </c>
      <c r="K513" t="str">
        <f>""</f>
        <v/>
      </c>
      <c r="M513" t="s">
        <v>68</v>
      </c>
      <c r="N513" t="str">
        <f t="shared" si="63"/>
        <v>FOR</v>
      </c>
      <c r="O513" t="s">
        <v>69</v>
      </c>
      <c r="P513" t="s">
        <v>75</v>
      </c>
      <c r="Q513">
        <v>2016</v>
      </c>
      <c r="R513" s="4">
        <v>42562</v>
      </c>
      <c r="S513" s="2">
        <v>42565</v>
      </c>
      <c r="T513" s="2">
        <v>42563</v>
      </c>
      <c r="U513" s="4">
        <v>42623</v>
      </c>
      <c r="V513" t="s">
        <v>71</v>
      </c>
      <c r="W513" t="str">
        <f>"          5840124290"</f>
        <v xml:space="preserve">          5840124290</v>
      </c>
      <c r="X513">
        <v>119.6</v>
      </c>
      <c r="Y513">
        <v>0</v>
      </c>
      <c r="Z513" s="5">
        <v>115</v>
      </c>
      <c r="AA513" s="3">
        <v>150</v>
      </c>
      <c r="AB513" s="5">
        <v>17250</v>
      </c>
      <c r="AC513">
        <v>115</v>
      </c>
      <c r="AD513">
        <v>150</v>
      </c>
      <c r="AE513" s="1">
        <v>17250</v>
      </c>
      <c r="AF513">
        <v>0</v>
      </c>
      <c r="AJ513">
        <v>0</v>
      </c>
      <c r="AK513">
        <v>0</v>
      </c>
      <c r="AL513">
        <v>0</v>
      </c>
      <c r="AM513">
        <v>0</v>
      </c>
      <c r="AN513">
        <v>0</v>
      </c>
      <c r="AO513">
        <v>0</v>
      </c>
      <c r="AP513" s="2">
        <v>42831</v>
      </c>
      <c r="AQ513" t="s">
        <v>72</v>
      </c>
      <c r="AR513" t="s">
        <v>72</v>
      </c>
      <c r="AS513">
        <v>309</v>
      </c>
      <c r="AT513" s="4">
        <v>42773</v>
      </c>
      <c r="AU513" t="s">
        <v>73</v>
      </c>
      <c r="AV513">
        <v>309</v>
      </c>
      <c r="AW513" s="4">
        <v>42773</v>
      </c>
      <c r="BD513">
        <v>0</v>
      </c>
      <c r="BN513" t="s">
        <v>74</v>
      </c>
    </row>
    <row r="514" spans="1:66">
      <c r="A514">
        <v>100695</v>
      </c>
      <c r="B514" t="s">
        <v>168</v>
      </c>
      <c r="C514" s="1">
        <v>43300101</v>
      </c>
      <c r="D514" t="s">
        <v>67</v>
      </c>
      <c r="H514" t="str">
        <f t="shared" si="64"/>
        <v>00721920155</v>
      </c>
      <c r="I514" t="str">
        <f t="shared" si="64"/>
        <v>00721920155</v>
      </c>
      <c r="K514" t="str">
        <f>""</f>
        <v/>
      </c>
      <c r="M514" t="s">
        <v>68</v>
      </c>
      <c r="N514" t="str">
        <f t="shared" si="63"/>
        <v>FOR</v>
      </c>
      <c r="O514" t="s">
        <v>69</v>
      </c>
      <c r="P514" t="s">
        <v>75</v>
      </c>
      <c r="Q514">
        <v>2016</v>
      </c>
      <c r="R514" s="4">
        <v>42562</v>
      </c>
      <c r="S514" s="2">
        <v>42565</v>
      </c>
      <c r="T514" s="2">
        <v>42563</v>
      </c>
      <c r="U514" s="4">
        <v>42623</v>
      </c>
      <c r="V514" t="s">
        <v>71</v>
      </c>
      <c r="W514" t="str">
        <f>"          5840124299"</f>
        <v xml:space="preserve">          5840124299</v>
      </c>
      <c r="X514">
        <v>119.6</v>
      </c>
      <c r="Y514">
        <v>0</v>
      </c>
      <c r="Z514" s="5">
        <v>115</v>
      </c>
      <c r="AA514" s="3">
        <v>150</v>
      </c>
      <c r="AB514" s="5">
        <v>17250</v>
      </c>
      <c r="AC514">
        <v>115</v>
      </c>
      <c r="AD514">
        <v>150</v>
      </c>
      <c r="AE514" s="1">
        <v>17250</v>
      </c>
      <c r="AF514">
        <v>0</v>
      </c>
      <c r="AJ514">
        <v>0</v>
      </c>
      <c r="AK514">
        <v>0</v>
      </c>
      <c r="AL514">
        <v>0</v>
      </c>
      <c r="AM514">
        <v>0</v>
      </c>
      <c r="AN514">
        <v>0</v>
      </c>
      <c r="AO514">
        <v>0</v>
      </c>
      <c r="AP514" s="2">
        <v>42831</v>
      </c>
      <c r="AQ514" t="s">
        <v>72</v>
      </c>
      <c r="AR514" t="s">
        <v>72</v>
      </c>
      <c r="AS514">
        <v>309</v>
      </c>
      <c r="AT514" s="4">
        <v>42773</v>
      </c>
      <c r="AU514" t="s">
        <v>73</v>
      </c>
      <c r="AV514">
        <v>309</v>
      </c>
      <c r="AW514" s="4">
        <v>42773</v>
      </c>
      <c r="BD514">
        <v>0</v>
      </c>
      <c r="BN514" t="s">
        <v>74</v>
      </c>
    </row>
    <row r="515" spans="1:66">
      <c r="A515">
        <v>100695</v>
      </c>
      <c r="B515" t="s">
        <v>168</v>
      </c>
      <c r="C515" s="1">
        <v>43300101</v>
      </c>
      <c r="D515" t="s">
        <v>67</v>
      </c>
      <c r="H515" t="str">
        <f t="shared" si="64"/>
        <v>00721920155</v>
      </c>
      <c r="I515" t="str">
        <f t="shared" si="64"/>
        <v>00721920155</v>
      </c>
      <c r="K515" t="str">
        <f>""</f>
        <v/>
      </c>
      <c r="M515" t="s">
        <v>68</v>
      </c>
      <c r="N515" t="str">
        <f t="shared" si="63"/>
        <v>FOR</v>
      </c>
      <c r="O515" t="s">
        <v>69</v>
      </c>
      <c r="P515" t="s">
        <v>75</v>
      </c>
      <c r="Q515">
        <v>2016</v>
      </c>
      <c r="R515" s="4">
        <v>42562</v>
      </c>
      <c r="S515" s="2">
        <v>42565</v>
      </c>
      <c r="T515" s="2">
        <v>42563</v>
      </c>
      <c r="U515" s="4">
        <v>42623</v>
      </c>
      <c r="V515" t="s">
        <v>71</v>
      </c>
      <c r="W515" t="str">
        <f>"          5840124316"</f>
        <v xml:space="preserve">          5840124316</v>
      </c>
      <c r="X515">
        <v>119.6</v>
      </c>
      <c r="Y515">
        <v>0</v>
      </c>
      <c r="Z515" s="5">
        <v>115</v>
      </c>
      <c r="AA515" s="3">
        <v>150</v>
      </c>
      <c r="AB515" s="5">
        <v>17250</v>
      </c>
      <c r="AC515">
        <v>115</v>
      </c>
      <c r="AD515">
        <v>150</v>
      </c>
      <c r="AE515" s="1">
        <v>17250</v>
      </c>
      <c r="AF515">
        <v>0</v>
      </c>
      <c r="AJ515">
        <v>0</v>
      </c>
      <c r="AK515">
        <v>0</v>
      </c>
      <c r="AL515">
        <v>0</v>
      </c>
      <c r="AM515">
        <v>0</v>
      </c>
      <c r="AN515">
        <v>0</v>
      </c>
      <c r="AO515">
        <v>0</v>
      </c>
      <c r="AP515" s="2">
        <v>42831</v>
      </c>
      <c r="AQ515" t="s">
        <v>72</v>
      </c>
      <c r="AR515" t="s">
        <v>72</v>
      </c>
      <c r="AS515">
        <v>309</v>
      </c>
      <c r="AT515" s="4">
        <v>42773</v>
      </c>
      <c r="AU515" t="s">
        <v>73</v>
      </c>
      <c r="AV515">
        <v>309</v>
      </c>
      <c r="AW515" s="4">
        <v>42773</v>
      </c>
      <c r="BD515">
        <v>0</v>
      </c>
      <c r="BN515" t="s">
        <v>74</v>
      </c>
    </row>
    <row r="516" spans="1:66">
      <c r="A516">
        <v>100695</v>
      </c>
      <c r="B516" t="s">
        <v>168</v>
      </c>
      <c r="C516" s="1">
        <v>43300101</v>
      </c>
      <c r="D516" t="s">
        <v>67</v>
      </c>
      <c r="H516" t="str">
        <f t="shared" si="64"/>
        <v>00721920155</v>
      </c>
      <c r="I516" t="str">
        <f t="shared" si="64"/>
        <v>00721920155</v>
      </c>
      <c r="K516" t="str">
        <f>""</f>
        <v/>
      </c>
      <c r="M516" t="s">
        <v>68</v>
      </c>
      <c r="N516" t="str">
        <f t="shared" si="63"/>
        <v>FOR</v>
      </c>
      <c r="O516" t="s">
        <v>69</v>
      </c>
      <c r="P516" t="s">
        <v>75</v>
      </c>
      <c r="Q516">
        <v>2016</v>
      </c>
      <c r="R516" s="4">
        <v>42562</v>
      </c>
      <c r="S516" s="2">
        <v>42565</v>
      </c>
      <c r="T516" s="2">
        <v>42563</v>
      </c>
      <c r="U516" s="4">
        <v>42623</v>
      </c>
      <c r="V516" t="s">
        <v>71</v>
      </c>
      <c r="W516" t="str">
        <f>"          5840124321"</f>
        <v xml:space="preserve">          5840124321</v>
      </c>
      <c r="X516">
        <v>119.6</v>
      </c>
      <c r="Y516">
        <v>0</v>
      </c>
      <c r="Z516" s="5">
        <v>115</v>
      </c>
      <c r="AA516" s="3">
        <v>150</v>
      </c>
      <c r="AB516" s="5">
        <v>17250</v>
      </c>
      <c r="AC516">
        <v>115</v>
      </c>
      <c r="AD516">
        <v>150</v>
      </c>
      <c r="AE516" s="1">
        <v>17250</v>
      </c>
      <c r="AF516">
        <v>0</v>
      </c>
      <c r="AJ516">
        <v>0</v>
      </c>
      <c r="AK516">
        <v>0</v>
      </c>
      <c r="AL516">
        <v>0</v>
      </c>
      <c r="AM516">
        <v>0</v>
      </c>
      <c r="AN516">
        <v>0</v>
      </c>
      <c r="AO516">
        <v>0</v>
      </c>
      <c r="AP516" s="2">
        <v>42831</v>
      </c>
      <c r="AQ516" t="s">
        <v>72</v>
      </c>
      <c r="AR516" t="s">
        <v>72</v>
      </c>
      <c r="AS516">
        <v>309</v>
      </c>
      <c r="AT516" s="4">
        <v>42773</v>
      </c>
      <c r="AU516" t="s">
        <v>73</v>
      </c>
      <c r="AV516">
        <v>309</v>
      </c>
      <c r="AW516" s="4">
        <v>42773</v>
      </c>
      <c r="BD516">
        <v>0</v>
      </c>
      <c r="BN516" t="s">
        <v>74</v>
      </c>
    </row>
    <row r="517" spans="1:66">
      <c r="A517">
        <v>100695</v>
      </c>
      <c r="B517" t="s">
        <v>168</v>
      </c>
      <c r="C517" s="1">
        <v>43300101</v>
      </c>
      <c r="D517" t="s">
        <v>67</v>
      </c>
      <c r="H517" t="str">
        <f t="shared" si="64"/>
        <v>00721920155</v>
      </c>
      <c r="I517" t="str">
        <f t="shared" si="64"/>
        <v>00721920155</v>
      </c>
      <c r="K517" t="str">
        <f>""</f>
        <v/>
      </c>
      <c r="M517" t="s">
        <v>68</v>
      </c>
      <c r="N517" t="str">
        <f t="shared" si="63"/>
        <v>FOR</v>
      </c>
      <c r="O517" t="s">
        <v>69</v>
      </c>
      <c r="P517" t="s">
        <v>75</v>
      </c>
      <c r="Q517">
        <v>2016</v>
      </c>
      <c r="R517" s="4">
        <v>42562</v>
      </c>
      <c r="S517" s="2">
        <v>42565</v>
      </c>
      <c r="T517" s="2">
        <v>42563</v>
      </c>
      <c r="U517" s="4">
        <v>42623</v>
      </c>
      <c r="V517" t="s">
        <v>71</v>
      </c>
      <c r="W517" t="str">
        <f>"          5840124323"</f>
        <v xml:space="preserve">          5840124323</v>
      </c>
      <c r="X517">
        <v>119.6</v>
      </c>
      <c r="Y517">
        <v>0</v>
      </c>
      <c r="Z517" s="5">
        <v>115</v>
      </c>
      <c r="AA517" s="3">
        <v>150</v>
      </c>
      <c r="AB517" s="5">
        <v>17250</v>
      </c>
      <c r="AC517">
        <v>115</v>
      </c>
      <c r="AD517">
        <v>150</v>
      </c>
      <c r="AE517" s="1">
        <v>17250</v>
      </c>
      <c r="AF517">
        <v>0</v>
      </c>
      <c r="AJ517">
        <v>0</v>
      </c>
      <c r="AK517">
        <v>0</v>
      </c>
      <c r="AL517">
        <v>0</v>
      </c>
      <c r="AM517">
        <v>0</v>
      </c>
      <c r="AN517">
        <v>0</v>
      </c>
      <c r="AO517">
        <v>0</v>
      </c>
      <c r="AP517" s="2">
        <v>42831</v>
      </c>
      <c r="AQ517" t="s">
        <v>72</v>
      </c>
      <c r="AR517" t="s">
        <v>72</v>
      </c>
      <c r="AS517">
        <v>309</v>
      </c>
      <c r="AT517" s="4">
        <v>42773</v>
      </c>
      <c r="AU517" t="s">
        <v>73</v>
      </c>
      <c r="AV517">
        <v>309</v>
      </c>
      <c r="AW517" s="4">
        <v>42773</v>
      </c>
      <c r="BD517">
        <v>0</v>
      </c>
      <c r="BN517" t="s">
        <v>74</v>
      </c>
    </row>
    <row r="518" spans="1:66">
      <c r="A518">
        <v>100695</v>
      </c>
      <c r="B518" t="s">
        <v>168</v>
      </c>
      <c r="C518" s="1">
        <v>43300101</v>
      </c>
      <c r="D518" t="s">
        <v>67</v>
      </c>
      <c r="H518" t="str">
        <f t="shared" si="64"/>
        <v>00721920155</v>
      </c>
      <c r="I518" t="str">
        <f t="shared" si="64"/>
        <v>00721920155</v>
      </c>
      <c r="K518" t="str">
        <f>""</f>
        <v/>
      </c>
      <c r="M518" t="s">
        <v>68</v>
      </c>
      <c r="N518" t="str">
        <f t="shared" si="63"/>
        <v>FOR</v>
      </c>
      <c r="O518" t="s">
        <v>69</v>
      </c>
      <c r="P518" t="s">
        <v>75</v>
      </c>
      <c r="Q518">
        <v>2016</v>
      </c>
      <c r="R518" s="4">
        <v>42563</v>
      </c>
      <c r="S518" s="2">
        <v>42571</v>
      </c>
      <c r="T518" s="2">
        <v>42570</v>
      </c>
      <c r="U518" s="4">
        <v>42630</v>
      </c>
      <c r="V518" t="s">
        <v>71</v>
      </c>
      <c r="W518" t="str">
        <f>"          5840124343"</f>
        <v xml:space="preserve">          5840124343</v>
      </c>
      <c r="X518">
        <v>119.6</v>
      </c>
      <c r="Y518">
        <v>0</v>
      </c>
      <c r="Z518" s="5">
        <v>115</v>
      </c>
      <c r="AA518" s="3">
        <v>143</v>
      </c>
      <c r="AB518" s="5">
        <v>16445</v>
      </c>
      <c r="AC518">
        <v>115</v>
      </c>
      <c r="AD518">
        <v>143</v>
      </c>
      <c r="AE518" s="1">
        <v>16445</v>
      </c>
      <c r="AF518">
        <v>0</v>
      </c>
      <c r="AJ518">
        <v>0</v>
      </c>
      <c r="AK518">
        <v>0</v>
      </c>
      <c r="AL518">
        <v>0</v>
      </c>
      <c r="AM518">
        <v>0</v>
      </c>
      <c r="AN518">
        <v>0</v>
      </c>
      <c r="AO518">
        <v>0</v>
      </c>
      <c r="AP518" s="2">
        <v>42831</v>
      </c>
      <c r="AQ518" t="s">
        <v>72</v>
      </c>
      <c r="AR518" t="s">
        <v>72</v>
      </c>
      <c r="AS518">
        <v>309</v>
      </c>
      <c r="AT518" s="4">
        <v>42773</v>
      </c>
      <c r="AU518" t="s">
        <v>73</v>
      </c>
      <c r="AV518">
        <v>309</v>
      </c>
      <c r="AW518" s="4">
        <v>42773</v>
      </c>
      <c r="BD518">
        <v>0</v>
      </c>
      <c r="BN518" t="s">
        <v>74</v>
      </c>
    </row>
    <row r="519" spans="1:66">
      <c r="A519">
        <v>100695</v>
      </c>
      <c r="B519" t="s">
        <v>168</v>
      </c>
      <c r="C519" s="1">
        <v>43300101</v>
      </c>
      <c r="D519" t="s">
        <v>67</v>
      </c>
      <c r="H519" t="str">
        <f t="shared" si="64"/>
        <v>00721920155</v>
      </c>
      <c r="I519" t="str">
        <f t="shared" si="64"/>
        <v>00721920155</v>
      </c>
      <c r="K519" t="str">
        <f>""</f>
        <v/>
      </c>
      <c r="M519" t="s">
        <v>68</v>
      </c>
      <c r="N519" t="str">
        <f t="shared" si="63"/>
        <v>FOR</v>
      </c>
      <c r="O519" t="s">
        <v>69</v>
      </c>
      <c r="P519" t="s">
        <v>75</v>
      </c>
      <c r="Q519">
        <v>2016</v>
      </c>
      <c r="R519" s="4">
        <v>42569</v>
      </c>
      <c r="S519" s="2">
        <v>42571</v>
      </c>
      <c r="T519" s="2">
        <v>42570</v>
      </c>
      <c r="U519" s="4">
        <v>42630</v>
      </c>
      <c r="V519" t="s">
        <v>71</v>
      </c>
      <c r="W519" t="str">
        <f>"          5840124525"</f>
        <v xml:space="preserve">          5840124525</v>
      </c>
      <c r="X519">
        <v>119.6</v>
      </c>
      <c r="Y519">
        <v>0</v>
      </c>
      <c r="Z519" s="5">
        <v>115</v>
      </c>
      <c r="AA519" s="3">
        <v>143</v>
      </c>
      <c r="AB519" s="5">
        <v>16445</v>
      </c>
      <c r="AC519">
        <v>115</v>
      </c>
      <c r="AD519">
        <v>143</v>
      </c>
      <c r="AE519" s="1">
        <v>16445</v>
      </c>
      <c r="AF519">
        <v>0</v>
      </c>
      <c r="AJ519">
        <v>0</v>
      </c>
      <c r="AK519">
        <v>0</v>
      </c>
      <c r="AL519">
        <v>0</v>
      </c>
      <c r="AM519">
        <v>0</v>
      </c>
      <c r="AN519">
        <v>0</v>
      </c>
      <c r="AO519">
        <v>0</v>
      </c>
      <c r="AP519" s="2">
        <v>42831</v>
      </c>
      <c r="AQ519" t="s">
        <v>72</v>
      </c>
      <c r="AR519" t="s">
        <v>72</v>
      </c>
      <c r="AS519">
        <v>309</v>
      </c>
      <c r="AT519" s="4">
        <v>42773</v>
      </c>
      <c r="AU519" t="s">
        <v>73</v>
      </c>
      <c r="AV519">
        <v>309</v>
      </c>
      <c r="AW519" s="4">
        <v>42773</v>
      </c>
      <c r="BD519">
        <v>0</v>
      </c>
      <c r="BN519" t="s">
        <v>74</v>
      </c>
    </row>
    <row r="520" spans="1:66">
      <c r="A520">
        <v>100695</v>
      </c>
      <c r="B520" t="s">
        <v>168</v>
      </c>
      <c r="C520" s="1">
        <v>43300101</v>
      </c>
      <c r="D520" t="s">
        <v>67</v>
      </c>
      <c r="H520" t="str">
        <f t="shared" si="64"/>
        <v>00721920155</v>
      </c>
      <c r="I520" t="str">
        <f t="shared" si="64"/>
        <v>00721920155</v>
      </c>
      <c r="K520" t="str">
        <f>""</f>
        <v/>
      </c>
      <c r="M520" t="s">
        <v>68</v>
      </c>
      <c r="N520" t="str">
        <f t="shared" si="63"/>
        <v>FOR</v>
      </c>
      <c r="O520" t="s">
        <v>69</v>
      </c>
      <c r="P520" t="s">
        <v>75</v>
      </c>
      <c r="Q520">
        <v>2016</v>
      </c>
      <c r="R520" s="4">
        <v>42569</v>
      </c>
      <c r="S520" s="2">
        <v>42571</v>
      </c>
      <c r="T520" s="2">
        <v>42570</v>
      </c>
      <c r="U520" s="4">
        <v>42630</v>
      </c>
      <c r="V520" t="s">
        <v>71</v>
      </c>
      <c r="W520" t="str">
        <f>"          5840124547"</f>
        <v xml:space="preserve">          5840124547</v>
      </c>
      <c r="X520">
        <v>119.6</v>
      </c>
      <c r="Y520">
        <v>0</v>
      </c>
      <c r="Z520" s="5">
        <v>115</v>
      </c>
      <c r="AA520" s="3">
        <v>143</v>
      </c>
      <c r="AB520" s="5">
        <v>16445</v>
      </c>
      <c r="AC520">
        <v>115</v>
      </c>
      <c r="AD520">
        <v>143</v>
      </c>
      <c r="AE520" s="1">
        <v>16445</v>
      </c>
      <c r="AF520">
        <v>0</v>
      </c>
      <c r="AJ520">
        <v>0</v>
      </c>
      <c r="AK520">
        <v>0</v>
      </c>
      <c r="AL520">
        <v>0</v>
      </c>
      <c r="AM520">
        <v>0</v>
      </c>
      <c r="AN520">
        <v>0</v>
      </c>
      <c r="AO520">
        <v>0</v>
      </c>
      <c r="AP520" s="2">
        <v>42831</v>
      </c>
      <c r="AQ520" t="s">
        <v>72</v>
      </c>
      <c r="AR520" t="s">
        <v>72</v>
      </c>
      <c r="AS520">
        <v>309</v>
      </c>
      <c r="AT520" s="4">
        <v>42773</v>
      </c>
      <c r="AU520" t="s">
        <v>73</v>
      </c>
      <c r="AV520">
        <v>309</v>
      </c>
      <c r="AW520" s="4">
        <v>42773</v>
      </c>
      <c r="BD520">
        <v>0</v>
      </c>
      <c r="BN520" t="s">
        <v>74</v>
      </c>
    </row>
    <row r="521" spans="1:66">
      <c r="A521">
        <v>100695</v>
      </c>
      <c r="B521" t="s">
        <v>168</v>
      </c>
      <c r="C521" s="1">
        <v>43300101</v>
      </c>
      <c r="D521" t="s">
        <v>67</v>
      </c>
      <c r="H521" t="str">
        <f t="shared" si="64"/>
        <v>00721920155</v>
      </c>
      <c r="I521" t="str">
        <f t="shared" si="64"/>
        <v>00721920155</v>
      </c>
      <c r="K521" t="str">
        <f>""</f>
        <v/>
      </c>
      <c r="M521" t="s">
        <v>68</v>
      </c>
      <c r="N521" t="str">
        <f t="shared" si="63"/>
        <v>FOR</v>
      </c>
      <c r="O521" t="s">
        <v>69</v>
      </c>
      <c r="P521" t="s">
        <v>75</v>
      </c>
      <c r="Q521">
        <v>2016</v>
      </c>
      <c r="R521" s="4">
        <v>42569</v>
      </c>
      <c r="S521" s="2">
        <v>42571</v>
      </c>
      <c r="T521" s="2">
        <v>42570</v>
      </c>
      <c r="U521" s="4">
        <v>42630</v>
      </c>
      <c r="V521" t="s">
        <v>71</v>
      </c>
      <c r="W521" t="str">
        <f>"          5840124556"</f>
        <v xml:space="preserve">          5840124556</v>
      </c>
      <c r="X521">
        <v>119.6</v>
      </c>
      <c r="Y521">
        <v>0</v>
      </c>
      <c r="Z521" s="5">
        <v>115</v>
      </c>
      <c r="AA521" s="3">
        <v>143</v>
      </c>
      <c r="AB521" s="5">
        <v>16445</v>
      </c>
      <c r="AC521">
        <v>115</v>
      </c>
      <c r="AD521">
        <v>143</v>
      </c>
      <c r="AE521" s="1">
        <v>16445</v>
      </c>
      <c r="AF521">
        <v>0</v>
      </c>
      <c r="AJ521">
        <v>0</v>
      </c>
      <c r="AK521">
        <v>0</v>
      </c>
      <c r="AL521">
        <v>0</v>
      </c>
      <c r="AM521">
        <v>0</v>
      </c>
      <c r="AN521">
        <v>0</v>
      </c>
      <c r="AO521">
        <v>0</v>
      </c>
      <c r="AP521" s="2">
        <v>42831</v>
      </c>
      <c r="AQ521" t="s">
        <v>72</v>
      </c>
      <c r="AR521" t="s">
        <v>72</v>
      </c>
      <c r="AS521">
        <v>309</v>
      </c>
      <c r="AT521" s="4">
        <v>42773</v>
      </c>
      <c r="AU521" t="s">
        <v>73</v>
      </c>
      <c r="AV521">
        <v>309</v>
      </c>
      <c r="AW521" s="4">
        <v>42773</v>
      </c>
      <c r="BD521">
        <v>0</v>
      </c>
      <c r="BN521" t="s">
        <v>74</v>
      </c>
    </row>
    <row r="522" spans="1:66">
      <c r="A522">
        <v>100695</v>
      </c>
      <c r="B522" t="s">
        <v>168</v>
      </c>
      <c r="C522" s="1">
        <v>43300101</v>
      </c>
      <c r="D522" t="s">
        <v>67</v>
      </c>
      <c r="H522" t="str">
        <f t="shared" si="64"/>
        <v>00721920155</v>
      </c>
      <c r="I522" t="str">
        <f t="shared" si="64"/>
        <v>00721920155</v>
      </c>
      <c r="K522" t="str">
        <f>""</f>
        <v/>
      </c>
      <c r="M522" t="s">
        <v>68</v>
      </c>
      <c r="N522" t="str">
        <f t="shared" si="63"/>
        <v>FOR</v>
      </c>
      <c r="O522" t="s">
        <v>69</v>
      </c>
      <c r="P522" t="s">
        <v>75</v>
      </c>
      <c r="Q522">
        <v>2016</v>
      </c>
      <c r="R522" s="4">
        <v>42569</v>
      </c>
      <c r="S522" s="2">
        <v>42577</v>
      </c>
      <c r="T522" s="2">
        <v>42572</v>
      </c>
      <c r="U522" s="4">
        <v>42632</v>
      </c>
      <c r="V522" t="s">
        <v>71</v>
      </c>
      <c r="W522" t="str">
        <f>"          5840124565"</f>
        <v xml:space="preserve">          5840124565</v>
      </c>
      <c r="X522">
        <v>119.6</v>
      </c>
      <c r="Y522">
        <v>0</v>
      </c>
      <c r="Z522" s="5">
        <v>115</v>
      </c>
      <c r="AA522" s="3">
        <v>141</v>
      </c>
      <c r="AB522" s="5">
        <v>16215</v>
      </c>
      <c r="AC522">
        <v>115</v>
      </c>
      <c r="AD522">
        <v>141</v>
      </c>
      <c r="AE522" s="1">
        <v>16215</v>
      </c>
      <c r="AF522">
        <v>0</v>
      </c>
      <c r="AJ522">
        <v>0</v>
      </c>
      <c r="AK522">
        <v>0</v>
      </c>
      <c r="AL522">
        <v>0</v>
      </c>
      <c r="AM522">
        <v>0</v>
      </c>
      <c r="AN522">
        <v>0</v>
      </c>
      <c r="AO522">
        <v>0</v>
      </c>
      <c r="AP522" s="2">
        <v>42831</v>
      </c>
      <c r="AQ522" t="s">
        <v>72</v>
      </c>
      <c r="AR522" t="s">
        <v>72</v>
      </c>
      <c r="AS522">
        <v>309</v>
      </c>
      <c r="AT522" s="4">
        <v>42773</v>
      </c>
      <c r="AU522" t="s">
        <v>73</v>
      </c>
      <c r="AV522">
        <v>309</v>
      </c>
      <c r="AW522" s="4">
        <v>42773</v>
      </c>
      <c r="BD522">
        <v>0</v>
      </c>
      <c r="BN522" t="s">
        <v>74</v>
      </c>
    </row>
    <row r="523" spans="1:66">
      <c r="A523">
        <v>100695</v>
      </c>
      <c r="B523" t="s">
        <v>168</v>
      </c>
      <c r="C523" s="1">
        <v>43300101</v>
      </c>
      <c r="D523" t="s">
        <v>67</v>
      </c>
      <c r="H523" t="str">
        <f t="shared" si="64"/>
        <v>00721920155</v>
      </c>
      <c r="I523" t="str">
        <f t="shared" si="64"/>
        <v>00721920155</v>
      </c>
      <c r="K523" t="str">
        <f>""</f>
        <v/>
      </c>
      <c r="M523" t="s">
        <v>68</v>
      </c>
      <c r="N523" t="str">
        <f t="shared" si="63"/>
        <v>FOR</v>
      </c>
      <c r="O523" t="s">
        <v>69</v>
      </c>
      <c r="P523" t="s">
        <v>75</v>
      </c>
      <c r="Q523">
        <v>2016</v>
      </c>
      <c r="R523" s="4">
        <v>42619</v>
      </c>
      <c r="S523" s="2">
        <v>42628</v>
      </c>
      <c r="T523" s="2">
        <v>42622</v>
      </c>
      <c r="U523" s="4">
        <v>42682</v>
      </c>
      <c r="V523" t="s">
        <v>71</v>
      </c>
      <c r="W523" t="str">
        <f>"          5840125976"</f>
        <v xml:space="preserve">          5840125976</v>
      </c>
      <c r="X523">
        <v>119.6</v>
      </c>
      <c r="Y523">
        <v>0</v>
      </c>
      <c r="Z523" s="5">
        <v>115</v>
      </c>
      <c r="AA523" s="3">
        <v>91</v>
      </c>
      <c r="AB523" s="5">
        <v>10465</v>
      </c>
      <c r="AC523">
        <v>115</v>
      </c>
      <c r="AD523">
        <v>91</v>
      </c>
      <c r="AE523" s="1">
        <v>10465</v>
      </c>
      <c r="AF523">
        <v>0</v>
      </c>
      <c r="AJ523">
        <v>0</v>
      </c>
      <c r="AK523">
        <v>0</v>
      </c>
      <c r="AL523">
        <v>0</v>
      </c>
      <c r="AM523">
        <v>0</v>
      </c>
      <c r="AN523">
        <v>0</v>
      </c>
      <c r="AO523">
        <v>0</v>
      </c>
      <c r="AP523" s="2">
        <v>42831</v>
      </c>
      <c r="AQ523" t="s">
        <v>72</v>
      </c>
      <c r="AR523" t="s">
        <v>72</v>
      </c>
      <c r="AS523">
        <v>309</v>
      </c>
      <c r="AT523" s="4">
        <v>42773</v>
      </c>
      <c r="AU523" t="s">
        <v>73</v>
      </c>
      <c r="AV523">
        <v>309</v>
      </c>
      <c r="AW523" s="4">
        <v>42773</v>
      </c>
      <c r="BD523">
        <v>0</v>
      </c>
      <c r="BN523" t="s">
        <v>74</v>
      </c>
    </row>
    <row r="524" spans="1:66">
      <c r="A524">
        <v>100695</v>
      </c>
      <c r="B524" t="s">
        <v>168</v>
      </c>
      <c r="C524" s="1">
        <v>43300101</v>
      </c>
      <c r="D524" t="s">
        <v>67</v>
      </c>
      <c r="H524" t="str">
        <f t="shared" si="64"/>
        <v>00721920155</v>
      </c>
      <c r="I524" t="str">
        <f t="shared" si="64"/>
        <v>00721920155</v>
      </c>
      <c r="K524" t="str">
        <f>""</f>
        <v/>
      </c>
      <c r="M524" t="s">
        <v>68</v>
      </c>
      <c r="N524" t="str">
        <f t="shared" si="63"/>
        <v>FOR</v>
      </c>
      <c r="O524" t="s">
        <v>69</v>
      </c>
      <c r="P524" t="s">
        <v>75</v>
      </c>
      <c r="Q524">
        <v>2016</v>
      </c>
      <c r="R524" s="4">
        <v>42621</v>
      </c>
      <c r="S524" s="2">
        <v>42634</v>
      </c>
      <c r="T524" s="2">
        <v>42629</v>
      </c>
      <c r="U524" s="4">
        <v>42689</v>
      </c>
      <c r="V524" t="s">
        <v>71</v>
      </c>
      <c r="W524" t="str">
        <f>"          5840126053"</f>
        <v xml:space="preserve">          5840126053</v>
      </c>
      <c r="X524">
        <v>119.6</v>
      </c>
      <c r="Y524">
        <v>0</v>
      </c>
      <c r="Z524" s="5">
        <v>115</v>
      </c>
      <c r="AA524" s="3">
        <v>84</v>
      </c>
      <c r="AB524" s="5">
        <v>9660</v>
      </c>
      <c r="AC524">
        <v>115</v>
      </c>
      <c r="AD524">
        <v>84</v>
      </c>
      <c r="AE524" s="1">
        <v>9660</v>
      </c>
      <c r="AF524">
        <v>0</v>
      </c>
      <c r="AJ524">
        <v>0</v>
      </c>
      <c r="AK524">
        <v>0</v>
      </c>
      <c r="AL524">
        <v>0</v>
      </c>
      <c r="AM524">
        <v>0</v>
      </c>
      <c r="AN524">
        <v>0</v>
      </c>
      <c r="AO524">
        <v>0</v>
      </c>
      <c r="AP524" s="2">
        <v>42831</v>
      </c>
      <c r="AQ524" t="s">
        <v>72</v>
      </c>
      <c r="AR524" t="s">
        <v>72</v>
      </c>
      <c r="AS524">
        <v>309</v>
      </c>
      <c r="AT524" s="4">
        <v>42773</v>
      </c>
      <c r="AU524" t="s">
        <v>73</v>
      </c>
      <c r="AV524">
        <v>309</v>
      </c>
      <c r="AW524" s="4">
        <v>42773</v>
      </c>
      <c r="BD524">
        <v>0</v>
      </c>
      <c r="BN524" t="s">
        <v>74</v>
      </c>
    </row>
    <row r="525" spans="1:66">
      <c r="A525">
        <v>100695</v>
      </c>
      <c r="B525" t="s">
        <v>168</v>
      </c>
      <c r="C525" s="1">
        <v>43300101</v>
      </c>
      <c r="D525" t="s">
        <v>67</v>
      </c>
      <c r="H525" t="str">
        <f t="shared" si="64"/>
        <v>00721920155</v>
      </c>
      <c r="I525" t="str">
        <f t="shared" si="64"/>
        <v>00721920155</v>
      </c>
      <c r="K525" t="str">
        <f>""</f>
        <v/>
      </c>
      <c r="M525" t="s">
        <v>68</v>
      </c>
      <c r="N525" t="str">
        <f t="shared" si="63"/>
        <v>FOR</v>
      </c>
      <c r="O525" t="s">
        <v>69</v>
      </c>
      <c r="P525" t="s">
        <v>75</v>
      </c>
      <c r="Q525">
        <v>2016</v>
      </c>
      <c r="R525" s="4">
        <v>42621</v>
      </c>
      <c r="S525" s="2">
        <v>42634</v>
      </c>
      <c r="T525" s="2">
        <v>42629</v>
      </c>
      <c r="U525" s="4">
        <v>42689</v>
      </c>
      <c r="V525" t="s">
        <v>71</v>
      </c>
      <c r="W525" t="str">
        <f>"          5840126056"</f>
        <v xml:space="preserve">          5840126056</v>
      </c>
      <c r="X525">
        <v>119.6</v>
      </c>
      <c r="Y525">
        <v>0</v>
      </c>
      <c r="Z525" s="5">
        <v>115</v>
      </c>
      <c r="AA525" s="3">
        <v>84</v>
      </c>
      <c r="AB525" s="5">
        <v>9660</v>
      </c>
      <c r="AC525">
        <v>115</v>
      </c>
      <c r="AD525">
        <v>84</v>
      </c>
      <c r="AE525" s="1">
        <v>9660</v>
      </c>
      <c r="AF525">
        <v>0</v>
      </c>
      <c r="AJ525">
        <v>0</v>
      </c>
      <c r="AK525">
        <v>0</v>
      </c>
      <c r="AL525">
        <v>0</v>
      </c>
      <c r="AM525">
        <v>0</v>
      </c>
      <c r="AN525">
        <v>0</v>
      </c>
      <c r="AO525">
        <v>0</v>
      </c>
      <c r="AP525" s="2">
        <v>42831</v>
      </c>
      <c r="AQ525" t="s">
        <v>72</v>
      </c>
      <c r="AR525" t="s">
        <v>72</v>
      </c>
      <c r="AS525">
        <v>309</v>
      </c>
      <c r="AT525" s="4">
        <v>42773</v>
      </c>
      <c r="AU525" t="s">
        <v>73</v>
      </c>
      <c r="AV525">
        <v>309</v>
      </c>
      <c r="AW525" s="4">
        <v>42773</v>
      </c>
      <c r="BD525">
        <v>0</v>
      </c>
      <c r="BN525" t="s">
        <v>74</v>
      </c>
    </row>
    <row r="526" spans="1:66">
      <c r="A526">
        <v>100695</v>
      </c>
      <c r="B526" t="s">
        <v>168</v>
      </c>
      <c r="C526" s="1">
        <v>43300101</v>
      </c>
      <c r="D526" t="s">
        <v>67</v>
      </c>
      <c r="H526" t="str">
        <f t="shared" si="64"/>
        <v>00721920155</v>
      </c>
      <c r="I526" t="str">
        <f t="shared" si="64"/>
        <v>00721920155</v>
      </c>
      <c r="K526" t="str">
        <f>""</f>
        <v/>
      </c>
      <c r="M526" t="s">
        <v>68</v>
      </c>
      <c r="N526" t="str">
        <f t="shared" si="63"/>
        <v>FOR</v>
      </c>
      <c r="O526" t="s">
        <v>69</v>
      </c>
      <c r="P526" t="s">
        <v>75</v>
      </c>
      <c r="Q526">
        <v>2016</v>
      </c>
      <c r="R526" s="4">
        <v>42621</v>
      </c>
      <c r="S526" s="2">
        <v>42634</v>
      </c>
      <c r="T526" s="2">
        <v>42629</v>
      </c>
      <c r="U526" s="4">
        <v>42689</v>
      </c>
      <c r="V526" t="s">
        <v>71</v>
      </c>
      <c r="W526" t="str">
        <f>"          5840126058"</f>
        <v xml:space="preserve">          5840126058</v>
      </c>
      <c r="X526">
        <v>119.6</v>
      </c>
      <c r="Y526">
        <v>0</v>
      </c>
      <c r="Z526" s="5">
        <v>115</v>
      </c>
      <c r="AA526" s="3">
        <v>84</v>
      </c>
      <c r="AB526" s="5">
        <v>9660</v>
      </c>
      <c r="AC526">
        <v>115</v>
      </c>
      <c r="AD526">
        <v>84</v>
      </c>
      <c r="AE526" s="1">
        <v>9660</v>
      </c>
      <c r="AF526">
        <v>0</v>
      </c>
      <c r="AJ526">
        <v>0</v>
      </c>
      <c r="AK526">
        <v>0</v>
      </c>
      <c r="AL526">
        <v>0</v>
      </c>
      <c r="AM526">
        <v>0</v>
      </c>
      <c r="AN526">
        <v>0</v>
      </c>
      <c r="AO526">
        <v>0</v>
      </c>
      <c r="AP526" s="2">
        <v>42831</v>
      </c>
      <c r="AQ526" t="s">
        <v>72</v>
      </c>
      <c r="AR526" t="s">
        <v>72</v>
      </c>
      <c r="AS526">
        <v>309</v>
      </c>
      <c r="AT526" s="4">
        <v>42773</v>
      </c>
      <c r="AU526" t="s">
        <v>73</v>
      </c>
      <c r="AV526">
        <v>309</v>
      </c>
      <c r="AW526" s="4">
        <v>42773</v>
      </c>
      <c r="BD526">
        <v>0</v>
      </c>
      <c r="BN526" t="s">
        <v>74</v>
      </c>
    </row>
    <row r="527" spans="1:66">
      <c r="A527">
        <v>100695</v>
      </c>
      <c r="B527" t="s">
        <v>168</v>
      </c>
      <c r="C527" s="1">
        <v>43300101</v>
      </c>
      <c r="D527" t="s">
        <v>67</v>
      </c>
      <c r="H527" t="str">
        <f t="shared" si="64"/>
        <v>00721920155</v>
      </c>
      <c r="I527" t="str">
        <f t="shared" si="64"/>
        <v>00721920155</v>
      </c>
      <c r="K527" t="str">
        <f>""</f>
        <v/>
      </c>
      <c r="M527" t="s">
        <v>68</v>
      </c>
      <c r="N527" t="str">
        <f t="shared" si="63"/>
        <v>FOR</v>
      </c>
      <c r="O527" t="s">
        <v>69</v>
      </c>
      <c r="P527" t="s">
        <v>75</v>
      </c>
      <c r="Q527">
        <v>2016</v>
      </c>
      <c r="R527" s="4">
        <v>42621</v>
      </c>
      <c r="S527" s="2">
        <v>42634</v>
      </c>
      <c r="T527" s="2">
        <v>42629</v>
      </c>
      <c r="U527" s="4">
        <v>42689</v>
      </c>
      <c r="V527" t="s">
        <v>71</v>
      </c>
      <c r="W527" t="str">
        <f>"          5840126059"</f>
        <v xml:space="preserve">          5840126059</v>
      </c>
      <c r="X527">
        <v>119.6</v>
      </c>
      <c r="Y527">
        <v>0</v>
      </c>
      <c r="Z527" s="5">
        <v>115</v>
      </c>
      <c r="AA527" s="3">
        <v>84</v>
      </c>
      <c r="AB527" s="5">
        <v>9660</v>
      </c>
      <c r="AC527">
        <v>115</v>
      </c>
      <c r="AD527">
        <v>84</v>
      </c>
      <c r="AE527" s="1">
        <v>9660</v>
      </c>
      <c r="AF527">
        <v>0</v>
      </c>
      <c r="AJ527">
        <v>0</v>
      </c>
      <c r="AK527">
        <v>0</v>
      </c>
      <c r="AL527">
        <v>0</v>
      </c>
      <c r="AM527">
        <v>0</v>
      </c>
      <c r="AN527">
        <v>0</v>
      </c>
      <c r="AO527">
        <v>0</v>
      </c>
      <c r="AP527" s="2">
        <v>42831</v>
      </c>
      <c r="AQ527" t="s">
        <v>72</v>
      </c>
      <c r="AR527" t="s">
        <v>72</v>
      </c>
      <c r="AS527">
        <v>309</v>
      </c>
      <c r="AT527" s="4">
        <v>42773</v>
      </c>
      <c r="AU527" t="s">
        <v>73</v>
      </c>
      <c r="AV527">
        <v>309</v>
      </c>
      <c r="AW527" s="4">
        <v>42773</v>
      </c>
      <c r="BD527">
        <v>0</v>
      </c>
      <c r="BN527" t="s">
        <v>74</v>
      </c>
    </row>
    <row r="528" spans="1:66">
      <c r="A528">
        <v>100695</v>
      </c>
      <c r="B528" t="s">
        <v>168</v>
      </c>
      <c r="C528" s="1">
        <v>43300101</v>
      </c>
      <c r="D528" t="s">
        <v>67</v>
      </c>
      <c r="H528" t="str">
        <f t="shared" si="64"/>
        <v>00721920155</v>
      </c>
      <c r="I528" t="str">
        <f t="shared" si="64"/>
        <v>00721920155</v>
      </c>
      <c r="K528" t="str">
        <f>""</f>
        <v/>
      </c>
      <c r="M528" t="s">
        <v>68</v>
      </c>
      <c r="N528" t="str">
        <f t="shared" si="63"/>
        <v>FOR</v>
      </c>
      <c r="O528" t="s">
        <v>69</v>
      </c>
      <c r="P528" t="s">
        <v>75</v>
      </c>
      <c r="Q528">
        <v>2016</v>
      </c>
      <c r="R528" s="4">
        <v>42621</v>
      </c>
      <c r="S528" s="2">
        <v>42634</v>
      </c>
      <c r="T528" s="2">
        <v>42629</v>
      </c>
      <c r="U528" s="4">
        <v>42689</v>
      </c>
      <c r="V528" t="s">
        <v>71</v>
      </c>
      <c r="W528" t="str">
        <f>"          5840126061"</f>
        <v xml:space="preserve">          5840126061</v>
      </c>
      <c r="X528">
        <v>119.6</v>
      </c>
      <c r="Y528">
        <v>0</v>
      </c>
      <c r="Z528" s="5">
        <v>115</v>
      </c>
      <c r="AA528" s="3">
        <v>84</v>
      </c>
      <c r="AB528" s="5">
        <v>9660</v>
      </c>
      <c r="AC528">
        <v>115</v>
      </c>
      <c r="AD528">
        <v>84</v>
      </c>
      <c r="AE528" s="1">
        <v>9660</v>
      </c>
      <c r="AF528">
        <v>0</v>
      </c>
      <c r="AJ528">
        <v>0</v>
      </c>
      <c r="AK528">
        <v>0</v>
      </c>
      <c r="AL528">
        <v>0</v>
      </c>
      <c r="AM528">
        <v>0</v>
      </c>
      <c r="AN528">
        <v>0</v>
      </c>
      <c r="AO528">
        <v>0</v>
      </c>
      <c r="AP528" s="2">
        <v>42831</v>
      </c>
      <c r="AQ528" t="s">
        <v>72</v>
      </c>
      <c r="AR528" t="s">
        <v>72</v>
      </c>
      <c r="AS528">
        <v>309</v>
      </c>
      <c r="AT528" s="4">
        <v>42773</v>
      </c>
      <c r="AU528" t="s">
        <v>73</v>
      </c>
      <c r="AV528">
        <v>309</v>
      </c>
      <c r="AW528" s="4">
        <v>42773</v>
      </c>
      <c r="BD528">
        <v>0</v>
      </c>
      <c r="BN528" t="s">
        <v>74</v>
      </c>
    </row>
    <row r="529" spans="1:66">
      <c r="A529">
        <v>100695</v>
      </c>
      <c r="B529" t="s">
        <v>168</v>
      </c>
      <c r="C529" s="1">
        <v>43300101</v>
      </c>
      <c r="D529" t="s">
        <v>67</v>
      </c>
      <c r="H529" t="str">
        <f t="shared" ref="H529:I548" si="65">"00721920155"</f>
        <v>00721920155</v>
      </c>
      <c r="I529" t="str">
        <f t="shared" si="65"/>
        <v>00721920155</v>
      </c>
      <c r="K529" t="str">
        <f>""</f>
        <v/>
      </c>
      <c r="M529" t="s">
        <v>68</v>
      </c>
      <c r="N529" t="str">
        <f t="shared" si="63"/>
        <v>FOR</v>
      </c>
      <c r="O529" t="s">
        <v>69</v>
      </c>
      <c r="P529" t="s">
        <v>75</v>
      </c>
      <c r="Q529">
        <v>2016</v>
      </c>
      <c r="R529" s="4">
        <v>42636</v>
      </c>
      <c r="S529" s="2">
        <v>42642</v>
      </c>
      <c r="T529" s="2">
        <v>42641</v>
      </c>
      <c r="U529" s="4">
        <v>42701</v>
      </c>
      <c r="V529" t="s">
        <v>71</v>
      </c>
      <c r="W529" t="str">
        <f>"          5840126805"</f>
        <v xml:space="preserve">          5840126805</v>
      </c>
      <c r="X529">
        <v>119.6</v>
      </c>
      <c r="Y529">
        <v>0</v>
      </c>
      <c r="Z529" s="5">
        <v>115</v>
      </c>
      <c r="AA529" s="3">
        <v>72</v>
      </c>
      <c r="AB529" s="5">
        <v>8280</v>
      </c>
      <c r="AC529">
        <v>115</v>
      </c>
      <c r="AD529">
        <v>72</v>
      </c>
      <c r="AE529" s="1">
        <v>8280</v>
      </c>
      <c r="AF529">
        <v>0</v>
      </c>
      <c r="AJ529">
        <v>0</v>
      </c>
      <c r="AK529">
        <v>0</v>
      </c>
      <c r="AL529">
        <v>0</v>
      </c>
      <c r="AM529">
        <v>0</v>
      </c>
      <c r="AN529">
        <v>0</v>
      </c>
      <c r="AO529">
        <v>0</v>
      </c>
      <c r="AP529" s="2">
        <v>42831</v>
      </c>
      <c r="AQ529" t="s">
        <v>72</v>
      </c>
      <c r="AR529" t="s">
        <v>72</v>
      </c>
      <c r="AS529">
        <v>309</v>
      </c>
      <c r="AT529" s="4">
        <v>42773</v>
      </c>
      <c r="AU529" t="s">
        <v>73</v>
      </c>
      <c r="AV529">
        <v>309</v>
      </c>
      <c r="AW529" s="4">
        <v>42773</v>
      </c>
      <c r="BD529">
        <v>0</v>
      </c>
      <c r="BN529" t="s">
        <v>74</v>
      </c>
    </row>
    <row r="530" spans="1:66">
      <c r="A530">
        <v>100695</v>
      </c>
      <c r="B530" t="s">
        <v>168</v>
      </c>
      <c r="C530" s="1">
        <v>43300101</v>
      </c>
      <c r="D530" t="s">
        <v>67</v>
      </c>
      <c r="H530" t="str">
        <f t="shared" si="65"/>
        <v>00721920155</v>
      </c>
      <c r="I530" t="str">
        <f t="shared" si="65"/>
        <v>00721920155</v>
      </c>
      <c r="K530" t="str">
        <f>""</f>
        <v/>
      </c>
      <c r="M530" t="s">
        <v>68</v>
      </c>
      <c r="N530" t="str">
        <f t="shared" si="63"/>
        <v>FOR</v>
      </c>
      <c r="O530" t="s">
        <v>69</v>
      </c>
      <c r="P530" t="s">
        <v>75</v>
      </c>
      <c r="Q530">
        <v>2016</v>
      </c>
      <c r="R530" s="4">
        <v>42636</v>
      </c>
      <c r="S530" s="2">
        <v>42642</v>
      </c>
      <c r="T530" s="2">
        <v>42641</v>
      </c>
      <c r="U530" s="4">
        <v>42701</v>
      </c>
      <c r="V530" t="s">
        <v>71</v>
      </c>
      <c r="W530" t="str">
        <f>"          5840126828"</f>
        <v xml:space="preserve">          5840126828</v>
      </c>
      <c r="X530">
        <v>119.6</v>
      </c>
      <c r="Y530">
        <v>0</v>
      </c>
      <c r="Z530" s="5">
        <v>115</v>
      </c>
      <c r="AA530" s="3">
        <v>72</v>
      </c>
      <c r="AB530" s="5">
        <v>8280</v>
      </c>
      <c r="AC530">
        <v>115</v>
      </c>
      <c r="AD530">
        <v>72</v>
      </c>
      <c r="AE530" s="1">
        <v>8280</v>
      </c>
      <c r="AF530">
        <v>0</v>
      </c>
      <c r="AJ530">
        <v>0</v>
      </c>
      <c r="AK530">
        <v>0</v>
      </c>
      <c r="AL530">
        <v>0</v>
      </c>
      <c r="AM530">
        <v>0</v>
      </c>
      <c r="AN530">
        <v>0</v>
      </c>
      <c r="AO530">
        <v>0</v>
      </c>
      <c r="AP530" s="2">
        <v>42831</v>
      </c>
      <c r="AQ530" t="s">
        <v>72</v>
      </c>
      <c r="AR530" t="s">
        <v>72</v>
      </c>
      <c r="AS530">
        <v>309</v>
      </c>
      <c r="AT530" s="4">
        <v>42773</v>
      </c>
      <c r="AU530" t="s">
        <v>73</v>
      </c>
      <c r="AV530">
        <v>309</v>
      </c>
      <c r="AW530" s="4">
        <v>42773</v>
      </c>
      <c r="BD530">
        <v>0</v>
      </c>
      <c r="BN530" t="s">
        <v>74</v>
      </c>
    </row>
    <row r="531" spans="1:66">
      <c r="A531">
        <v>100695</v>
      </c>
      <c r="B531" t="s">
        <v>168</v>
      </c>
      <c r="C531" s="1">
        <v>43300101</v>
      </c>
      <c r="D531" t="s">
        <v>67</v>
      </c>
      <c r="H531" t="str">
        <f t="shared" si="65"/>
        <v>00721920155</v>
      </c>
      <c r="I531" t="str">
        <f t="shared" si="65"/>
        <v>00721920155</v>
      </c>
      <c r="K531" t="str">
        <f>""</f>
        <v/>
      </c>
      <c r="M531" t="s">
        <v>68</v>
      </c>
      <c r="N531" t="str">
        <f t="shared" si="63"/>
        <v>FOR</v>
      </c>
      <c r="O531" t="s">
        <v>69</v>
      </c>
      <c r="P531" t="s">
        <v>75</v>
      </c>
      <c r="Q531">
        <v>2016</v>
      </c>
      <c r="R531" s="4">
        <v>42636</v>
      </c>
      <c r="S531" s="2">
        <v>42642</v>
      </c>
      <c r="T531" s="2">
        <v>42641</v>
      </c>
      <c r="U531" s="4">
        <v>42701</v>
      </c>
      <c r="V531" t="s">
        <v>71</v>
      </c>
      <c r="W531" t="str">
        <f>"          5840126830"</f>
        <v xml:space="preserve">          5840126830</v>
      </c>
      <c r="X531">
        <v>119.6</v>
      </c>
      <c r="Y531">
        <v>0</v>
      </c>
      <c r="Z531" s="5">
        <v>115</v>
      </c>
      <c r="AA531" s="3">
        <v>72</v>
      </c>
      <c r="AB531" s="5">
        <v>8280</v>
      </c>
      <c r="AC531">
        <v>115</v>
      </c>
      <c r="AD531">
        <v>72</v>
      </c>
      <c r="AE531" s="1">
        <v>8280</v>
      </c>
      <c r="AF531">
        <v>0</v>
      </c>
      <c r="AJ531">
        <v>0</v>
      </c>
      <c r="AK531">
        <v>0</v>
      </c>
      <c r="AL531">
        <v>0</v>
      </c>
      <c r="AM531">
        <v>0</v>
      </c>
      <c r="AN531">
        <v>0</v>
      </c>
      <c r="AO531">
        <v>0</v>
      </c>
      <c r="AP531" s="2">
        <v>42831</v>
      </c>
      <c r="AQ531" t="s">
        <v>72</v>
      </c>
      <c r="AR531" t="s">
        <v>72</v>
      </c>
      <c r="AS531">
        <v>309</v>
      </c>
      <c r="AT531" s="4">
        <v>42773</v>
      </c>
      <c r="AU531" t="s">
        <v>73</v>
      </c>
      <c r="AV531">
        <v>309</v>
      </c>
      <c r="AW531" s="4">
        <v>42773</v>
      </c>
      <c r="BD531">
        <v>0</v>
      </c>
      <c r="BN531" t="s">
        <v>74</v>
      </c>
    </row>
    <row r="532" spans="1:66">
      <c r="A532">
        <v>100695</v>
      </c>
      <c r="B532" t="s">
        <v>168</v>
      </c>
      <c r="C532" s="1">
        <v>43300101</v>
      </c>
      <c r="D532" t="s">
        <v>67</v>
      </c>
      <c r="H532" t="str">
        <f t="shared" si="65"/>
        <v>00721920155</v>
      </c>
      <c r="I532" t="str">
        <f t="shared" si="65"/>
        <v>00721920155</v>
      </c>
      <c r="K532" t="str">
        <f>""</f>
        <v/>
      </c>
      <c r="M532" t="s">
        <v>68</v>
      </c>
      <c r="N532" t="str">
        <f t="shared" si="63"/>
        <v>FOR</v>
      </c>
      <c r="O532" t="s">
        <v>69</v>
      </c>
      <c r="P532" t="s">
        <v>75</v>
      </c>
      <c r="Q532">
        <v>2016</v>
      </c>
      <c r="R532" s="4">
        <v>42636</v>
      </c>
      <c r="S532" s="2">
        <v>42642</v>
      </c>
      <c r="T532" s="2">
        <v>42641</v>
      </c>
      <c r="U532" s="4">
        <v>42701</v>
      </c>
      <c r="V532" t="s">
        <v>71</v>
      </c>
      <c r="W532" t="str">
        <f>"          5840126835"</f>
        <v xml:space="preserve">          5840126835</v>
      </c>
      <c r="X532">
        <v>119.6</v>
      </c>
      <c r="Y532">
        <v>0</v>
      </c>
      <c r="Z532" s="5">
        <v>115</v>
      </c>
      <c r="AA532" s="3">
        <v>72</v>
      </c>
      <c r="AB532" s="5">
        <v>8280</v>
      </c>
      <c r="AC532">
        <v>115</v>
      </c>
      <c r="AD532">
        <v>72</v>
      </c>
      <c r="AE532" s="1">
        <v>8280</v>
      </c>
      <c r="AF532">
        <v>0</v>
      </c>
      <c r="AJ532">
        <v>0</v>
      </c>
      <c r="AK532">
        <v>0</v>
      </c>
      <c r="AL532">
        <v>0</v>
      </c>
      <c r="AM532">
        <v>0</v>
      </c>
      <c r="AN532">
        <v>0</v>
      </c>
      <c r="AO532">
        <v>0</v>
      </c>
      <c r="AP532" s="2">
        <v>42831</v>
      </c>
      <c r="AQ532" t="s">
        <v>72</v>
      </c>
      <c r="AR532" t="s">
        <v>72</v>
      </c>
      <c r="AS532">
        <v>309</v>
      </c>
      <c r="AT532" s="4">
        <v>42773</v>
      </c>
      <c r="AU532" t="s">
        <v>73</v>
      </c>
      <c r="AV532">
        <v>309</v>
      </c>
      <c r="AW532" s="4">
        <v>42773</v>
      </c>
      <c r="BD532">
        <v>0</v>
      </c>
      <c r="BN532" t="s">
        <v>74</v>
      </c>
    </row>
    <row r="533" spans="1:66">
      <c r="A533">
        <v>100695</v>
      </c>
      <c r="B533" t="s">
        <v>168</v>
      </c>
      <c r="C533" s="1">
        <v>43300101</v>
      </c>
      <c r="D533" t="s">
        <v>67</v>
      </c>
      <c r="H533" t="str">
        <f t="shared" si="65"/>
        <v>00721920155</v>
      </c>
      <c r="I533" t="str">
        <f t="shared" si="65"/>
        <v>00721920155</v>
      </c>
      <c r="K533" t="str">
        <f>""</f>
        <v/>
      </c>
      <c r="M533" t="s">
        <v>68</v>
      </c>
      <c r="N533" t="str">
        <f t="shared" ref="N533:N564" si="66">"FOR"</f>
        <v>FOR</v>
      </c>
      <c r="O533" t="s">
        <v>69</v>
      </c>
      <c r="P533" t="s">
        <v>75</v>
      </c>
      <c r="Q533">
        <v>2016</v>
      </c>
      <c r="R533" s="4">
        <v>42636</v>
      </c>
      <c r="S533" s="2">
        <v>42642</v>
      </c>
      <c r="T533" s="2">
        <v>42641</v>
      </c>
      <c r="U533" s="4">
        <v>42701</v>
      </c>
      <c r="V533" t="s">
        <v>71</v>
      </c>
      <c r="W533" t="str">
        <f>"          5840126838"</f>
        <v xml:space="preserve">          5840126838</v>
      </c>
      <c r="X533">
        <v>119.6</v>
      </c>
      <c r="Y533">
        <v>0</v>
      </c>
      <c r="Z533" s="5">
        <v>115</v>
      </c>
      <c r="AA533" s="3">
        <v>72</v>
      </c>
      <c r="AB533" s="5">
        <v>8280</v>
      </c>
      <c r="AC533">
        <v>115</v>
      </c>
      <c r="AD533">
        <v>72</v>
      </c>
      <c r="AE533" s="1">
        <v>8280</v>
      </c>
      <c r="AF533">
        <v>0</v>
      </c>
      <c r="AJ533">
        <v>0</v>
      </c>
      <c r="AK533">
        <v>0</v>
      </c>
      <c r="AL533">
        <v>0</v>
      </c>
      <c r="AM533">
        <v>0</v>
      </c>
      <c r="AN533">
        <v>0</v>
      </c>
      <c r="AO533">
        <v>0</v>
      </c>
      <c r="AP533" s="2">
        <v>42831</v>
      </c>
      <c r="AQ533" t="s">
        <v>72</v>
      </c>
      <c r="AR533" t="s">
        <v>72</v>
      </c>
      <c r="AS533">
        <v>309</v>
      </c>
      <c r="AT533" s="4">
        <v>42773</v>
      </c>
      <c r="AU533" t="s">
        <v>73</v>
      </c>
      <c r="AV533">
        <v>309</v>
      </c>
      <c r="AW533" s="4">
        <v>42773</v>
      </c>
      <c r="BD533">
        <v>0</v>
      </c>
      <c r="BN533" t="s">
        <v>74</v>
      </c>
    </row>
    <row r="534" spans="1:66">
      <c r="A534">
        <v>100695</v>
      </c>
      <c r="B534" t="s">
        <v>168</v>
      </c>
      <c r="C534" s="1">
        <v>43300101</v>
      </c>
      <c r="D534" t="s">
        <v>67</v>
      </c>
      <c r="H534" t="str">
        <f t="shared" si="65"/>
        <v>00721920155</v>
      </c>
      <c r="I534" t="str">
        <f t="shared" si="65"/>
        <v>00721920155</v>
      </c>
      <c r="K534" t="str">
        <f>""</f>
        <v/>
      </c>
      <c r="M534" t="s">
        <v>68</v>
      </c>
      <c r="N534" t="str">
        <f t="shared" si="66"/>
        <v>FOR</v>
      </c>
      <c r="O534" t="s">
        <v>69</v>
      </c>
      <c r="P534" t="s">
        <v>75</v>
      </c>
      <c r="Q534">
        <v>2016</v>
      </c>
      <c r="R534" s="4">
        <v>42639</v>
      </c>
      <c r="S534" s="2">
        <v>42642</v>
      </c>
      <c r="T534" s="2">
        <v>42641</v>
      </c>
      <c r="U534" s="4">
        <v>42701</v>
      </c>
      <c r="V534" t="s">
        <v>71</v>
      </c>
      <c r="W534" t="str">
        <f>"          5840126891"</f>
        <v xml:space="preserve">          5840126891</v>
      </c>
      <c r="X534">
        <v>119.6</v>
      </c>
      <c r="Y534">
        <v>0</v>
      </c>
      <c r="Z534" s="5">
        <v>115</v>
      </c>
      <c r="AA534" s="3">
        <v>72</v>
      </c>
      <c r="AB534" s="5">
        <v>8280</v>
      </c>
      <c r="AC534">
        <v>115</v>
      </c>
      <c r="AD534">
        <v>72</v>
      </c>
      <c r="AE534" s="1">
        <v>8280</v>
      </c>
      <c r="AF534">
        <v>0</v>
      </c>
      <c r="AJ534">
        <v>0</v>
      </c>
      <c r="AK534">
        <v>0</v>
      </c>
      <c r="AL534">
        <v>0</v>
      </c>
      <c r="AM534">
        <v>0</v>
      </c>
      <c r="AN534">
        <v>0</v>
      </c>
      <c r="AO534">
        <v>0</v>
      </c>
      <c r="AP534" s="2">
        <v>42831</v>
      </c>
      <c r="AQ534" t="s">
        <v>72</v>
      </c>
      <c r="AR534" t="s">
        <v>72</v>
      </c>
      <c r="AS534">
        <v>309</v>
      </c>
      <c r="AT534" s="4">
        <v>42773</v>
      </c>
      <c r="AU534" t="s">
        <v>73</v>
      </c>
      <c r="AV534">
        <v>309</v>
      </c>
      <c r="AW534" s="4">
        <v>42773</v>
      </c>
      <c r="BD534">
        <v>0</v>
      </c>
      <c r="BN534" t="s">
        <v>74</v>
      </c>
    </row>
    <row r="535" spans="1:66">
      <c r="A535">
        <v>100695</v>
      </c>
      <c r="B535" t="s">
        <v>168</v>
      </c>
      <c r="C535" s="1">
        <v>43300101</v>
      </c>
      <c r="D535" t="s">
        <v>67</v>
      </c>
      <c r="H535" t="str">
        <f t="shared" si="65"/>
        <v>00721920155</v>
      </c>
      <c r="I535" t="str">
        <f t="shared" si="65"/>
        <v>00721920155</v>
      </c>
      <c r="K535" t="str">
        <f>""</f>
        <v/>
      </c>
      <c r="M535" t="s">
        <v>68</v>
      </c>
      <c r="N535" t="str">
        <f t="shared" si="66"/>
        <v>FOR</v>
      </c>
      <c r="O535" t="s">
        <v>69</v>
      </c>
      <c r="P535" t="s">
        <v>75</v>
      </c>
      <c r="Q535">
        <v>2016</v>
      </c>
      <c r="R535" s="4">
        <v>42639</v>
      </c>
      <c r="S535" s="2">
        <v>42642</v>
      </c>
      <c r="T535" s="2">
        <v>42641</v>
      </c>
      <c r="U535" s="4">
        <v>42701</v>
      </c>
      <c r="V535" t="s">
        <v>71</v>
      </c>
      <c r="W535" t="str">
        <f>"          5840126896"</f>
        <v xml:space="preserve">          5840126896</v>
      </c>
      <c r="X535">
        <v>119.6</v>
      </c>
      <c r="Y535">
        <v>0</v>
      </c>
      <c r="Z535" s="5">
        <v>115</v>
      </c>
      <c r="AA535" s="3">
        <v>72</v>
      </c>
      <c r="AB535" s="5">
        <v>8280</v>
      </c>
      <c r="AC535">
        <v>115</v>
      </c>
      <c r="AD535">
        <v>72</v>
      </c>
      <c r="AE535" s="1">
        <v>8280</v>
      </c>
      <c r="AF535">
        <v>0</v>
      </c>
      <c r="AJ535">
        <v>0</v>
      </c>
      <c r="AK535">
        <v>0</v>
      </c>
      <c r="AL535">
        <v>0</v>
      </c>
      <c r="AM535">
        <v>0</v>
      </c>
      <c r="AN535">
        <v>0</v>
      </c>
      <c r="AO535">
        <v>0</v>
      </c>
      <c r="AP535" s="2">
        <v>42831</v>
      </c>
      <c r="AQ535" t="s">
        <v>72</v>
      </c>
      <c r="AR535" t="s">
        <v>72</v>
      </c>
      <c r="AS535">
        <v>309</v>
      </c>
      <c r="AT535" s="4">
        <v>42773</v>
      </c>
      <c r="AU535" t="s">
        <v>73</v>
      </c>
      <c r="AV535">
        <v>309</v>
      </c>
      <c r="AW535" s="4">
        <v>42773</v>
      </c>
      <c r="BD535">
        <v>0</v>
      </c>
      <c r="BN535" t="s">
        <v>74</v>
      </c>
    </row>
    <row r="536" spans="1:66">
      <c r="A536">
        <v>100695</v>
      </c>
      <c r="B536" t="s">
        <v>168</v>
      </c>
      <c r="C536" s="1">
        <v>43300101</v>
      </c>
      <c r="D536" t="s">
        <v>67</v>
      </c>
      <c r="H536" t="str">
        <f t="shared" si="65"/>
        <v>00721920155</v>
      </c>
      <c r="I536" t="str">
        <f t="shared" si="65"/>
        <v>00721920155</v>
      </c>
      <c r="K536" t="str">
        <f>""</f>
        <v/>
      </c>
      <c r="M536" t="s">
        <v>68</v>
      </c>
      <c r="N536" t="str">
        <f t="shared" si="66"/>
        <v>FOR</v>
      </c>
      <c r="O536" t="s">
        <v>69</v>
      </c>
      <c r="P536" t="s">
        <v>75</v>
      </c>
      <c r="Q536">
        <v>2016</v>
      </c>
      <c r="R536" s="4">
        <v>42639</v>
      </c>
      <c r="S536" s="2">
        <v>42642</v>
      </c>
      <c r="T536" s="2">
        <v>42641</v>
      </c>
      <c r="U536" s="4">
        <v>42701</v>
      </c>
      <c r="V536" t="s">
        <v>71</v>
      </c>
      <c r="W536" t="str">
        <f>"          5840126902"</f>
        <v xml:space="preserve">          5840126902</v>
      </c>
      <c r="X536">
        <v>119.6</v>
      </c>
      <c r="Y536">
        <v>0</v>
      </c>
      <c r="Z536" s="5">
        <v>115</v>
      </c>
      <c r="AA536" s="3">
        <v>72</v>
      </c>
      <c r="AB536" s="5">
        <v>8280</v>
      </c>
      <c r="AC536">
        <v>115</v>
      </c>
      <c r="AD536">
        <v>72</v>
      </c>
      <c r="AE536" s="1">
        <v>8280</v>
      </c>
      <c r="AF536">
        <v>0</v>
      </c>
      <c r="AJ536">
        <v>0</v>
      </c>
      <c r="AK536">
        <v>0</v>
      </c>
      <c r="AL536">
        <v>0</v>
      </c>
      <c r="AM536">
        <v>0</v>
      </c>
      <c r="AN536">
        <v>0</v>
      </c>
      <c r="AO536">
        <v>0</v>
      </c>
      <c r="AP536" s="2">
        <v>42831</v>
      </c>
      <c r="AQ536" t="s">
        <v>72</v>
      </c>
      <c r="AR536" t="s">
        <v>72</v>
      </c>
      <c r="AS536">
        <v>309</v>
      </c>
      <c r="AT536" s="4">
        <v>42773</v>
      </c>
      <c r="AU536" t="s">
        <v>73</v>
      </c>
      <c r="AV536">
        <v>309</v>
      </c>
      <c r="AW536" s="4">
        <v>42773</v>
      </c>
      <c r="BD536">
        <v>0</v>
      </c>
      <c r="BN536" t="s">
        <v>74</v>
      </c>
    </row>
    <row r="537" spans="1:66">
      <c r="A537">
        <v>100695</v>
      </c>
      <c r="B537" t="s">
        <v>168</v>
      </c>
      <c r="C537" s="1">
        <v>43300101</v>
      </c>
      <c r="D537" t="s">
        <v>67</v>
      </c>
      <c r="H537" t="str">
        <f t="shared" si="65"/>
        <v>00721920155</v>
      </c>
      <c r="I537" t="str">
        <f t="shared" si="65"/>
        <v>00721920155</v>
      </c>
      <c r="K537" t="str">
        <f>""</f>
        <v/>
      </c>
      <c r="M537" t="s">
        <v>68</v>
      </c>
      <c r="N537" t="str">
        <f t="shared" si="66"/>
        <v>FOR</v>
      </c>
      <c r="O537" t="s">
        <v>69</v>
      </c>
      <c r="P537" t="s">
        <v>75</v>
      </c>
      <c r="Q537">
        <v>2016</v>
      </c>
      <c r="R537" s="4">
        <v>42639</v>
      </c>
      <c r="S537" s="2">
        <v>42642</v>
      </c>
      <c r="T537" s="2">
        <v>42641</v>
      </c>
      <c r="U537" s="4">
        <v>42701</v>
      </c>
      <c r="V537" t="s">
        <v>71</v>
      </c>
      <c r="W537" t="str">
        <f>"          5840126908"</f>
        <v xml:space="preserve">          5840126908</v>
      </c>
      <c r="X537">
        <v>119.6</v>
      </c>
      <c r="Y537">
        <v>0</v>
      </c>
      <c r="Z537" s="5">
        <v>115</v>
      </c>
      <c r="AA537" s="3">
        <v>72</v>
      </c>
      <c r="AB537" s="5">
        <v>8280</v>
      </c>
      <c r="AC537">
        <v>115</v>
      </c>
      <c r="AD537">
        <v>72</v>
      </c>
      <c r="AE537" s="1">
        <v>8280</v>
      </c>
      <c r="AF537">
        <v>0</v>
      </c>
      <c r="AJ537">
        <v>0</v>
      </c>
      <c r="AK537">
        <v>0</v>
      </c>
      <c r="AL537">
        <v>0</v>
      </c>
      <c r="AM537">
        <v>0</v>
      </c>
      <c r="AN537">
        <v>0</v>
      </c>
      <c r="AO537">
        <v>0</v>
      </c>
      <c r="AP537" s="2">
        <v>42831</v>
      </c>
      <c r="AQ537" t="s">
        <v>72</v>
      </c>
      <c r="AR537" t="s">
        <v>72</v>
      </c>
      <c r="AS537">
        <v>309</v>
      </c>
      <c r="AT537" s="4">
        <v>42773</v>
      </c>
      <c r="AU537" t="s">
        <v>73</v>
      </c>
      <c r="AV537">
        <v>309</v>
      </c>
      <c r="AW537" s="4">
        <v>42773</v>
      </c>
      <c r="BD537">
        <v>0</v>
      </c>
      <c r="BN537" t="s">
        <v>74</v>
      </c>
    </row>
    <row r="538" spans="1:66">
      <c r="A538">
        <v>100695</v>
      </c>
      <c r="B538" t="s">
        <v>168</v>
      </c>
      <c r="C538" s="1">
        <v>43300101</v>
      </c>
      <c r="D538" t="s">
        <v>67</v>
      </c>
      <c r="H538" t="str">
        <f t="shared" si="65"/>
        <v>00721920155</v>
      </c>
      <c r="I538" t="str">
        <f t="shared" si="65"/>
        <v>00721920155</v>
      </c>
      <c r="K538" t="str">
        <f>""</f>
        <v/>
      </c>
      <c r="M538" t="s">
        <v>68</v>
      </c>
      <c r="N538" t="str">
        <f t="shared" si="66"/>
        <v>FOR</v>
      </c>
      <c r="O538" t="s">
        <v>69</v>
      </c>
      <c r="P538" t="s">
        <v>75</v>
      </c>
      <c r="Q538">
        <v>2016</v>
      </c>
      <c r="R538" s="4">
        <v>42639</v>
      </c>
      <c r="S538" s="2">
        <v>42642</v>
      </c>
      <c r="T538" s="2">
        <v>42641</v>
      </c>
      <c r="U538" s="4">
        <v>42701</v>
      </c>
      <c r="V538" t="s">
        <v>71</v>
      </c>
      <c r="W538" t="str">
        <f>"          5840126916"</f>
        <v xml:space="preserve">          5840126916</v>
      </c>
      <c r="X538">
        <v>119.6</v>
      </c>
      <c r="Y538">
        <v>0</v>
      </c>
      <c r="Z538" s="5">
        <v>115</v>
      </c>
      <c r="AA538" s="3">
        <v>72</v>
      </c>
      <c r="AB538" s="5">
        <v>8280</v>
      </c>
      <c r="AC538">
        <v>115</v>
      </c>
      <c r="AD538">
        <v>72</v>
      </c>
      <c r="AE538" s="1">
        <v>8280</v>
      </c>
      <c r="AF538">
        <v>0</v>
      </c>
      <c r="AJ538">
        <v>0</v>
      </c>
      <c r="AK538">
        <v>0</v>
      </c>
      <c r="AL538">
        <v>0</v>
      </c>
      <c r="AM538">
        <v>0</v>
      </c>
      <c r="AN538">
        <v>0</v>
      </c>
      <c r="AO538">
        <v>0</v>
      </c>
      <c r="AP538" s="2">
        <v>42831</v>
      </c>
      <c r="AQ538" t="s">
        <v>72</v>
      </c>
      <c r="AR538" t="s">
        <v>72</v>
      </c>
      <c r="AS538">
        <v>309</v>
      </c>
      <c r="AT538" s="4">
        <v>42773</v>
      </c>
      <c r="AU538" t="s">
        <v>73</v>
      </c>
      <c r="AV538">
        <v>309</v>
      </c>
      <c r="AW538" s="4">
        <v>42773</v>
      </c>
      <c r="BD538">
        <v>0</v>
      </c>
      <c r="BN538" t="s">
        <v>74</v>
      </c>
    </row>
    <row r="539" spans="1:66">
      <c r="A539">
        <v>100695</v>
      </c>
      <c r="B539" t="s">
        <v>168</v>
      </c>
      <c r="C539" s="1">
        <v>43300101</v>
      </c>
      <c r="D539" t="s">
        <v>67</v>
      </c>
      <c r="H539" t="str">
        <f t="shared" si="65"/>
        <v>00721920155</v>
      </c>
      <c r="I539" t="str">
        <f t="shared" si="65"/>
        <v>00721920155</v>
      </c>
      <c r="K539" t="str">
        <f>""</f>
        <v/>
      </c>
      <c r="M539" t="s">
        <v>68</v>
      </c>
      <c r="N539" t="str">
        <f t="shared" si="66"/>
        <v>FOR</v>
      </c>
      <c r="O539" t="s">
        <v>69</v>
      </c>
      <c r="P539" t="s">
        <v>75</v>
      </c>
      <c r="Q539">
        <v>2016</v>
      </c>
      <c r="R539" s="4">
        <v>42642</v>
      </c>
      <c r="S539" s="2">
        <v>42654</v>
      </c>
      <c r="T539" s="2">
        <v>42653</v>
      </c>
      <c r="U539" s="4">
        <v>42713</v>
      </c>
      <c r="V539" t="s">
        <v>71</v>
      </c>
      <c r="W539" t="str">
        <f>"          5840127175"</f>
        <v xml:space="preserve">          5840127175</v>
      </c>
      <c r="X539">
        <v>119.6</v>
      </c>
      <c r="Y539">
        <v>0</v>
      </c>
      <c r="Z539" s="5">
        <v>115</v>
      </c>
      <c r="AA539" s="3">
        <v>60</v>
      </c>
      <c r="AB539" s="5">
        <v>6900</v>
      </c>
      <c r="AC539">
        <v>115</v>
      </c>
      <c r="AD539">
        <v>60</v>
      </c>
      <c r="AE539" s="1">
        <v>6900</v>
      </c>
      <c r="AF539">
        <v>0</v>
      </c>
      <c r="AJ539">
        <v>0</v>
      </c>
      <c r="AK539">
        <v>0</v>
      </c>
      <c r="AL539">
        <v>0</v>
      </c>
      <c r="AM539">
        <v>0</v>
      </c>
      <c r="AN539">
        <v>0</v>
      </c>
      <c r="AO539">
        <v>0</v>
      </c>
      <c r="AP539" s="2">
        <v>42831</v>
      </c>
      <c r="AQ539" t="s">
        <v>72</v>
      </c>
      <c r="AR539" t="s">
        <v>72</v>
      </c>
      <c r="AS539">
        <v>309</v>
      </c>
      <c r="AT539" s="4">
        <v>42773</v>
      </c>
      <c r="AU539" t="s">
        <v>73</v>
      </c>
      <c r="AV539">
        <v>309</v>
      </c>
      <c r="AW539" s="4">
        <v>42773</v>
      </c>
      <c r="BD539">
        <v>0</v>
      </c>
      <c r="BN539" t="s">
        <v>74</v>
      </c>
    </row>
    <row r="540" spans="1:66">
      <c r="A540">
        <v>100695</v>
      </c>
      <c r="B540" t="s">
        <v>168</v>
      </c>
      <c r="C540" s="1">
        <v>43300101</v>
      </c>
      <c r="D540" t="s">
        <v>67</v>
      </c>
      <c r="H540" t="str">
        <f t="shared" si="65"/>
        <v>00721920155</v>
      </c>
      <c r="I540" t="str">
        <f t="shared" si="65"/>
        <v>00721920155</v>
      </c>
      <c r="K540" t="str">
        <f>""</f>
        <v/>
      </c>
      <c r="M540" t="s">
        <v>68</v>
      </c>
      <c r="N540" t="str">
        <f t="shared" si="66"/>
        <v>FOR</v>
      </c>
      <c r="O540" t="s">
        <v>69</v>
      </c>
      <c r="P540" t="s">
        <v>75</v>
      </c>
      <c r="Q540">
        <v>2016</v>
      </c>
      <c r="R540" s="4">
        <v>42642</v>
      </c>
      <c r="S540" s="2">
        <v>42654</v>
      </c>
      <c r="T540" s="2">
        <v>42653</v>
      </c>
      <c r="U540" s="4">
        <v>42713</v>
      </c>
      <c r="V540" t="s">
        <v>71</v>
      </c>
      <c r="W540" t="str">
        <f>"          5840127182"</f>
        <v xml:space="preserve">          5840127182</v>
      </c>
      <c r="X540">
        <v>119.6</v>
      </c>
      <c r="Y540">
        <v>0</v>
      </c>
      <c r="Z540" s="5">
        <v>115</v>
      </c>
      <c r="AA540" s="3">
        <v>60</v>
      </c>
      <c r="AB540" s="5">
        <v>6900</v>
      </c>
      <c r="AC540">
        <v>115</v>
      </c>
      <c r="AD540">
        <v>60</v>
      </c>
      <c r="AE540" s="1">
        <v>6900</v>
      </c>
      <c r="AF540">
        <v>0</v>
      </c>
      <c r="AJ540">
        <v>0</v>
      </c>
      <c r="AK540">
        <v>0</v>
      </c>
      <c r="AL540">
        <v>0</v>
      </c>
      <c r="AM540">
        <v>0</v>
      </c>
      <c r="AN540">
        <v>0</v>
      </c>
      <c r="AO540">
        <v>0</v>
      </c>
      <c r="AP540" s="2">
        <v>42831</v>
      </c>
      <c r="AQ540" t="s">
        <v>72</v>
      </c>
      <c r="AR540" t="s">
        <v>72</v>
      </c>
      <c r="AS540">
        <v>309</v>
      </c>
      <c r="AT540" s="4">
        <v>42773</v>
      </c>
      <c r="AU540" t="s">
        <v>73</v>
      </c>
      <c r="AV540">
        <v>309</v>
      </c>
      <c r="AW540" s="4">
        <v>42773</v>
      </c>
      <c r="BD540">
        <v>0</v>
      </c>
      <c r="BN540" t="s">
        <v>74</v>
      </c>
    </row>
    <row r="541" spans="1:66">
      <c r="A541">
        <v>100695</v>
      </c>
      <c r="B541" t="s">
        <v>168</v>
      </c>
      <c r="C541" s="1">
        <v>43300101</v>
      </c>
      <c r="D541" t="s">
        <v>67</v>
      </c>
      <c r="H541" t="str">
        <f t="shared" si="65"/>
        <v>00721920155</v>
      </c>
      <c r="I541" t="str">
        <f t="shared" si="65"/>
        <v>00721920155</v>
      </c>
      <c r="K541" t="str">
        <f>""</f>
        <v/>
      </c>
      <c r="M541" t="s">
        <v>68</v>
      </c>
      <c r="N541" t="str">
        <f t="shared" si="66"/>
        <v>FOR</v>
      </c>
      <c r="O541" t="s">
        <v>69</v>
      </c>
      <c r="P541" t="s">
        <v>75</v>
      </c>
      <c r="Q541">
        <v>2016</v>
      </c>
      <c r="R541" s="4">
        <v>42642</v>
      </c>
      <c r="S541" s="2">
        <v>42654</v>
      </c>
      <c r="T541" s="2">
        <v>42653</v>
      </c>
      <c r="U541" s="4">
        <v>42713</v>
      </c>
      <c r="V541" t="s">
        <v>71</v>
      </c>
      <c r="W541" t="str">
        <f>"          5840127188"</f>
        <v xml:space="preserve">          5840127188</v>
      </c>
      <c r="X541">
        <v>119.6</v>
      </c>
      <c r="Y541">
        <v>0</v>
      </c>
      <c r="Z541" s="5">
        <v>115</v>
      </c>
      <c r="AA541" s="3">
        <v>60</v>
      </c>
      <c r="AB541" s="5">
        <v>6900</v>
      </c>
      <c r="AC541">
        <v>115</v>
      </c>
      <c r="AD541">
        <v>60</v>
      </c>
      <c r="AE541" s="1">
        <v>6900</v>
      </c>
      <c r="AF541">
        <v>0</v>
      </c>
      <c r="AJ541">
        <v>0</v>
      </c>
      <c r="AK541">
        <v>0</v>
      </c>
      <c r="AL541">
        <v>0</v>
      </c>
      <c r="AM541">
        <v>0</v>
      </c>
      <c r="AN541">
        <v>0</v>
      </c>
      <c r="AO541">
        <v>0</v>
      </c>
      <c r="AP541" s="2">
        <v>42831</v>
      </c>
      <c r="AQ541" t="s">
        <v>72</v>
      </c>
      <c r="AR541" t="s">
        <v>72</v>
      </c>
      <c r="AS541">
        <v>309</v>
      </c>
      <c r="AT541" s="4">
        <v>42773</v>
      </c>
      <c r="AU541" t="s">
        <v>73</v>
      </c>
      <c r="AV541">
        <v>309</v>
      </c>
      <c r="AW541" s="4">
        <v>42773</v>
      </c>
      <c r="BD541">
        <v>0</v>
      </c>
      <c r="BN541" t="s">
        <v>74</v>
      </c>
    </row>
    <row r="542" spans="1:66">
      <c r="A542">
        <v>100695</v>
      </c>
      <c r="B542" t="s">
        <v>168</v>
      </c>
      <c r="C542" s="1">
        <v>43300101</v>
      </c>
      <c r="D542" t="s">
        <v>67</v>
      </c>
      <c r="H542" t="str">
        <f t="shared" si="65"/>
        <v>00721920155</v>
      </c>
      <c r="I542" t="str">
        <f t="shared" si="65"/>
        <v>00721920155</v>
      </c>
      <c r="K542" t="str">
        <f>""</f>
        <v/>
      </c>
      <c r="M542" t="s">
        <v>68</v>
      </c>
      <c r="N542" t="str">
        <f t="shared" si="66"/>
        <v>FOR</v>
      </c>
      <c r="O542" t="s">
        <v>69</v>
      </c>
      <c r="P542" t="s">
        <v>75</v>
      </c>
      <c r="Q542">
        <v>2016</v>
      </c>
      <c r="R542" s="4">
        <v>42642</v>
      </c>
      <c r="S542" s="2">
        <v>42654</v>
      </c>
      <c r="T542" s="2">
        <v>42653</v>
      </c>
      <c r="U542" s="4">
        <v>42713</v>
      </c>
      <c r="V542" t="s">
        <v>71</v>
      </c>
      <c r="W542" t="str">
        <f>"          5840127193"</f>
        <v xml:space="preserve">          5840127193</v>
      </c>
      <c r="X542">
        <v>119.6</v>
      </c>
      <c r="Y542">
        <v>0</v>
      </c>
      <c r="Z542" s="5">
        <v>115</v>
      </c>
      <c r="AA542" s="3">
        <v>60</v>
      </c>
      <c r="AB542" s="5">
        <v>6900</v>
      </c>
      <c r="AC542">
        <v>115</v>
      </c>
      <c r="AD542">
        <v>60</v>
      </c>
      <c r="AE542" s="1">
        <v>6900</v>
      </c>
      <c r="AF542">
        <v>0</v>
      </c>
      <c r="AJ542">
        <v>0</v>
      </c>
      <c r="AK542">
        <v>0</v>
      </c>
      <c r="AL542">
        <v>0</v>
      </c>
      <c r="AM542">
        <v>0</v>
      </c>
      <c r="AN542">
        <v>0</v>
      </c>
      <c r="AO542">
        <v>0</v>
      </c>
      <c r="AP542" s="2">
        <v>42831</v>
      </c>
      <c r="AQ542" t="s">
        <v>72</v>
      </c>
      <c r="AR542" t="s">
        <v>72</v>
      </c>
      <c r="AS542">
        <v>309</v>
      </c>
      <c r="AT542" s="4">
        <v>42773</v>
      </c>
      <c r="AU542" t="s">
        <v>73</v>
      </c>
      <c r="AV542">
        <v>309</v>
      </c>
      <c r="AW542" s="4">
        <v>42773</v>
      </c>
      <c r="BD542">
        <v>0</v>
      </c>
      <c r="BN542" t="s">
        <v>74</v>
      </c>
    </row>
    <row r="543" spans="1:66">
      <c r="A543">
        <v>100695</v>
      </c>
      <c r="B543" t="s">
        <v>168</v>
      </c>
      <c r="C543" s="1">
        <v>43300101</v>
      </c>
      <c r="D543" t="s">
        <v>67</v>
      </c>
      <c r="H543" t="str">
        <f t="shared" si="65"/>
        <v>00721920155</v>
      </c>
      <c r="I543" t="str">
        <f t="shared" si="65"/>
        <v>00721920155</v>
      </c>
      <c r="K543" t="str">
        <f>""</f>
        <v/>
      </c>
      <c r="M543" t="s">
        <v>68</v>
      </c>
      <c r="N543" t="str">
        <f t="shared" si="66"/>
        <v>FOR</v>
      </c>
      <c r="O543" t="s">
        <v>69</v>
      </c>
      <c r="P543" t="s">
        <v>75</v>
      </c>
      <c r="Q543">
        <v>2016</v>
      </c>
      <c r="R543" s="4">
        <v>42650</v>
      </c>
      <c r="S543" s="2">
        <v>42669</v>
      </c>
      <c r="T543" s="2">
        <v>42667</v>
      </c>
      <c r="U543" s="4">
        <v>42727</v>
      </c>
      <c r="V543" t="s">
        <v>71</v>
      </c>
      <c r="W543" t="str">
        <f>"          5840127409"</f>
        <v xml:space="preserve">          5840127409</v>
      </c>
      <c r="X543">
        <v>119.6</v>
      </c>
      <c r="Y543">
        <v>0</v>
      </c>
      <c r="Z543" s="5">
        <v>115</v>
      </c>
      <c r="AA543" s="3">
        <v>46</v>
      </c>
      <c r="AB543" s="5">
        <v>5290</v>
      </c>
      <c r="AC543">
        <v>115</v>
      </c>
      <c r="AD543">
        <v>46</v>
      </c>
      <c r="AE543" s="1">
        <v>5290</v>
      </c>
      <c r="AF543">
        <v>0</v>
      </c>
      <c r="AJ543">
        <v>0</v>
      </c>
      <c r="AK543">
        <v>0</v>
      </c>
      <c r="AL543">
        <v>0</v>
      </c>
      <c r="AM543">
        <v>0</v>
      </c>
      <c r="AN543">
        <v>0</v>
      </c>
      <c r="AO543">
        <v>0</v>
      </c>
      <c r="AP543" s="2">
        <v>42831</v>
      </c>
      <c r="AQ543" t="s">
        <v>72</v>
      </c>
      <c r="AR543" t="s">
        <v>72</v>
      </c>
      <c r="AS543">
        <v>309</v>
      </c>
      <c r="AT543" s="4">
        <v>42773</v>
      </c>
      <c r="AU543" t="s">
        <v>73</v>
      </c>
      <c r="AV543">
        <v>309</v>
      </c>
      <c r="AW543" s="4">
        <v>42773</v>
      </c>
      <c r="BD543">
        <v>0</v>
      </c>
      <c r="BN543" t="s">
        <v>74</v>
      </c>
    </row>
    <row r="544" spans="1:66">
      <c r="A544">
        <v>100695</v>
      </c>
      <c r="B544" t="s">
        <v>168</v>
      </c>
      <c r="C544" s="1">
        <v>43300101</v>
      </c>
      <c r="D544" t="s">
        <v>67</v>
      </c>
      <c r="H544" t="str">
        <f t="shared" si="65"/>
        <v>00721920155</v>
      </c>
      <c r="I544" t="str">
        <f t="shared" si="65"/>
        <v>00721920155</v>
      </c>
      <c r="K544" t="str">
        <f>""</f>
        <v/>
      </c>
      <c r="M544" t="s">
        <v>68</v>
      </c>
      <c r="N544" t="str">
        <f t="shared" si="66"/>
        <v>FOR</v>
      </c>
      <c r="O544" t="s">
        <v>69</v>
      </c>
      <c r="P544" t="s">
        <v>75</v>
      </c>
      <c r="Q544">
        <v>2016</v>
      </c>
      <c r="R544" s="4">
        <v>42650</v>
      </c>
      <c r="S544" s="2">
        <v>42669</v>
      </c>
      <c r="T544" s="2">
        <v>42667</v>
      </c>
      <c r="U544" s="4">
        <v>42727</v>
      </c>
      <c r="V544" t="s">
        <v>71</v>
      </c>
      <c r="W544" t="str">
        <f>"          5840127430"</f>
        <v xml:space="preserve">          5840127430</v>
      </c>
      <c r="X544">
        <v>119.6</v>
      </c>
      <c r="Y544">
        <v>0</v>
      </c>
      <c r="Z544" s="5">
        <v>115</v>
      </c>
      <c r="AA544" s="3">
        <v>46</v>
      </c>
      <c r="AB544" s="5">
        <v>5290</v>
      </c>
      <c r="AC544">
        <v>115</v>
      </c>
      <c r="AD544">
        <v>46</v>
      </c>
      <c r="AE544" s="1">
        <v>5290</v>
      </c>
      <c r="AF544">
        <v>0</v>
      </c>
      <c r="AJ544">
        <v>0</v>
      </c>
      <c r="AK544">
        <v>0</v>
      </c>
      <c r="AL544">
        <v>0</v>
      </c>
      <c r="AM544">
        <v>0</v>
      </c>
      <c r="AN544">
        <v>0</v>
      </c>
      <c r="AO544">
        <v>0</v>
      </c>
      <c r="AP544" s="2">
        <v>42831</v>
      </c>
      <c r="AQ544" t="s">
        <v>72</v>
      </c>
      <c r="AR544" t="s">
        <v>72</v>
      </c>
      <c r="AS544">
        <v>309</v>
      </c>
      <c r="AT544" s="4">
        <v>42773</v>
      </c>
      <c r="AU544" t="s">
        <v>73</v>
      </c>
      <c r="AV544">
        <v>309</v>
      </c>
      <c r="AW544" s="4">
        <v>42773</v>
      </c>
      <c r="BD544">
        <v>0</v>
      </c>
      <c r="BN544" t="s">
        <v>74</v>
      </c>
    </row>
    <row r="545" spans="1:66">
      <c r="A545">
        <v>100695</v>
      </c>
      <c r="B545" t="s">
        <v>168</v>
      </c>
      <c r="C545" s="1">
        <v>43300101</v>
      </c>
      <c r="D545" t="s">
        <v>67</v>
      </c>
      <c r="H545" t="str">
        <f t="shared" si="65"/>
        <v>00721920155</v>
      </c>
      <c r="I545" t="str">
        <f t="shared" si="65"/>
        <v>00721920155</v>
      </c>
      <c r="K545" t="str">
        <f>""</f>
        <v/>
      </c>
      <c r="M545" t="s">
        <v>68</v>
      </c>
      <c r="N545" t="str">
        <f t="shared" si="66"/>
        <v>FOR</v>
      </c>
      <c r="O545" t="s">
        <v>69</v>
      </c>
      <c r="P545" t="s">
        <v>75</v>
      </c>
      <c r="Q545">
        <v>2016</v>
      </c>
      <c r="R545" s="4">
        <v>42650</v>
      </c>
      <c r="S545" s="2">
        <v>42669</v>
      </c>
      <c r="T545" s="2">
        <v>42667</v>
      </c>
      <c r="U545" s="4">
        <v>42727</v>
      </c>
      <c r="V545" t="s">
        <v>71</v>
      </c>
      <c r="W545" t="str">
        <f>"          5840127451"</f>
        <v xml:space="preserve">          5840127451</v>
      </c>
      <c r="X545">
        <v>119.6</v>
      </c>
      <c r="Y545">
        <v>0</v>
      </c>
      <c r="Z545" s="5">
        <v>115</v>
      </c>
      <c r="AA545" s="3">
        <v>46</v>
      </c>
      <c r="AB545" s="5">
        <v>5290</v>
      </c>
      <c r="AC545">
        <v>115</v>
      </c>
      <c r="AD545">
        <v>46</v>
      </c>
      <c r="AE545" s="1">
        <v>5290</v>
      </c>
      <c r="AF545">
        <v>0</v>
      </c>
      <c r="AJ545">
        <v>0</v>
      </c>
      <c r="AK545">
        <v>0</v>
      </c>
      <c r="AL545">
        <v>0</v>
      </c>
      <c r="AM545">
        <v>0</v>
      </c>
      <c r="AN545">
        <v>0</v>
      </c>
      <c r="AO545">
        <v>0</v>
      </c>
      <c r="AP545" s="2">
        <v>42831</v>
      </c>
      <c r="AQ545" t="s">
        <v>72</v>
      </c>
      <c r="AR545" t="s">
        <v>72</v>
      </c>
      <c r="AS545">
        <v>309</v>
      </c>
      <c r="AT545" s="4">
        <v>42773</v>
      </c>
      <c r="AU545" t="s">
        <v>73</v>
      </c>
      <c r="AV545">
        <v>309</v>
      </c>
      <c r="AW545" s="4">
        <v>42773</v>
      </c>
      <c r="BD545">
        <v>0</v>
      </c>
      <c r="BN545" t="s">
        <v>74</v>
      </c>
    </row>
    <row r="546" spans="1:66">
      <c r="A546">
        <v>100695</v>
      </c>
      <c r="B546" t="s">
        <v>168</v>
      </c>
      <c r="C546" s="1">
        <v>43300101</v>
      </c>
      <c r="D546" t="s">
        <v>67</v>
      </c>
      <c r="H546" t="str">
        <f t="shared" si="65"/>
        <v>00721920155</v>
      </c>
      <c r="I546" t="str">
        <f t="shared" si="65"/>
        <v>00721920155</v>
      </c>
      <c r="K546" t="str">
        <f>""</f>
        <v/>
      </c>
      <c r="M546" t="s">
        <v>68</v>
      </c>
      <c r="N546" t="str">
        <f t="shared" si="66"/>
        <v>FOR</v>
      </c>
      <c r="O546" t="s">
        <v>69</v>
      </c>
      <c r="P546" t="s">
        <v>75</v>
      </c>
      <c r="Q546">
        <v>2016</v>
      </c>
      <c r="R546" s="4">
        <v>42650</v>
      </c>
      <c r="S546" s="2">
        <v>42669</v>
      </c>
      <c r="T546" s="2">
        <v>42667</v>
      </c>
      <c r="U546" s="4">
        <v>42727</v>
      </c>
      <c r="V546" t="s">
        <v>71</v>
      </c>
      <c r="W546" t="str">
        <f>"          5840127464"</f>
        <v xml:space="preserve">          5840127464</v>
      </c>
      <c r="X546">
        <v>119.6</v>
      </c>
      <c r="Y546">
        <v>0</v>
      </c>
      <c r="Z546" s="5">
        <v>115</v>
      </c>
      <c r="AA546" s="3">
        <v>46</v>
      </c>
      <c r="AB546" s="5">
        <v>5290</v>
      </c>
      <c r="AC546">
        <v>115</v>
      </c>
      <c r="AD546">
        <v>46</v>
      </c>
      <c r="AE546" s="1">
        <v>5290</v>
      </c>
      <c r="AF546">
        <v>0</v>
      </c>
      <c r="AJ546">
        <v>0</v>
      </c>
      <c r="AK546">
        <v>0</v>
      </c>
      <c r="AL546">
        <v>0</v>
      </c>
      <c r="AM546">
        <v>0</v>
      </c>
      <c r="AN546">
        <v>0</v>
      </c>
      <c r="AO546">
        <v>0</v>
      </c>
      <c r="AP546" s="2">
        <v>42831</v>
      </c>
      <c r="AQ546" t="s">
        <v>72</v>
      </c>
      <c r="AR546" t="s">
        <v>72</v>
      </c>
      <c r="AS546">
        <v>309</v>
      </c>
      <c r="AT546" s="4">
        <v>42773</v>
      </c>
      <c r="AU546" t="s">
        <v>73</v>
      </c>
      <c r="AV546">
        <v>309</v>
      </c>
      <c r="AW546" s="4">
        <v>42773</v>
      </c>
      <c r="BD546">
        <v>0</v>
      </c>
      <c r="BN546" t="s">
        <v>74</v>
      </c>
    </row>
    <row r="547" spans="1:66">
      <c r="A547">
        <v>100695</v>
      </c>
      <c r="B547" t="s">
        <v>168</v>
      </c>
      <c r="C547" s="1">
        <v>43300101</v>
      </c>
      <c r="D547" t="s">
        <v>67</v>
      </c>
      <c r="H547" t="str">
        <f t="shared" si="65"/>
        <v>00721920155</v>
      </c>
      <c r="I547" t="str">
        <f t="shared" si="65"/>
        <v>00721920155</v>
      </c>
      <c r="K547" t="str">
        <f>""</f>
        <v/>
      </c>
      <c r="M547" t="s">
        <v>68</v>
      </c>
      <c r="N547" t="str">
        <f t="shared" si="66"/>
        <v>FOR</v>
      </c>
      <c r="O547" t="s">
        <v>69</v>
      </c>
      <c r="P547" t="s">
        <v>75</v>
      </c>
      <c r="Q547">
        <v>2016</v>
      </c>
      <c r="R547" s="4">
        <v>42653</v>
      </c>
      <c r="S547" s="2">
        <v>42669</v>
      </c>
      <c r="T547" s="2">
        <v>42667</v>
      </c>
      <c r="U547" s="4">
        <v>42727</v>
      </c>
      <c r="V547" t="s">
        <v>71</v>
      </c>
      <c r="W547" t="str">
        <f>"          5840127466"</f>
        <v xml:space="preserve">          5840127466</v>
      </c>
      <c r="X547">
        <v>119.6</v>
      </c>
      <c r="Y547">
        <v>0</v>
      </c>
      <c r="Z547" s="5">
        <v>115</v>
      </c>
      <c r="AA547" s="3">
        <v>46</v>
      </c>
      <c r="AB547" s="5">
        <v>5290</v>
      </c>
      <c r="AC547">
        <v>115</v>
      </c>
      <c r="AD547">
        <v>46</v>
      </c>
      <c r="AE547" s="1">
        <v>5290</v>
      </c>
      <c r="AF547">
        <v>0</v>
      </c>
      <c r="AJ547">
        <v>0</v>
      </c>
      <c r="AK547">
        <v>0</v>
      </c>
      <c r="AL547">
        <v>0</v>
      </c>
      <c r="AM547">
        <v>0</v>
      </c>
      <c r="AN547">
        <v>0</v>
      </c>
      <c r="AO547">
        <v>0</v>
      </c>
      <c r="AP547" s="2">
        <v>42831</v>
      </c>
      <c r="AQ547" t="s">
        <v>72</v>
      </c>
      <c r="AR547" t="s">
        <v>72</v>
      </c>
      <c r="AS547">
        <v>309</v>
      </c>
      <c r="AT547" s="4">
        <v>42773</v>
      </c>
      <c r="AU547" t="s">
        <v>73</v>
      </c>
      <c r="AV547">
        <v>309</v>
      </c>
      <c r="AW547" s="4">
        <v>42773</v>
      </c>
      <c r="BD547">
        <v>0</v>
      </c>
      <c r="BN547" t="s">
        <v>74</v>
      </c>
    </row>
    <row r="548" spans="1:66">
      <c r="A548">
        <v>100695</v>
      </c>
      <c r="B548" t="s">
        <v>168</v>
      </c>
      <c r="C548" s="1">
        <v>43300101</v>
      </c>
      <c r="D548" t="s">
        <v>67</v>
      </c>
      <c r="H548" t="str">
        <f t="shared" si="65"/>
        <v>00721920155</v>
      </c>
      <c r="I548" t="str">
        <f t="shared" si="65"/>
        <v>00721920155</v>
      </c>
      <c r="K548" t="str">
        <f>""</f>
        <v/>
      </c>
      <c r="M548" t="s">
        <v>68</v>
      </c>
      <c r="N548" t="str">
        <f t="shared" si="66"/>
        <v>FOR</v>
      </c>
      <c r="O548" t="s">
        <v>69</v>
      </c>
      <c r="P548" t="s">
        <v>75</v>
      </c>
      <c r="Q548">
        <v>2016</v>
      </c>
      <c r="R548" s="4">
        <v>42653</v>
      </c>
      <c r="S548" s="2">
        <v>42669</v>
      </c>
      <c r="T548" s="2">
        <v>42667</v>
      </c>
      <c r="U548" s="4">
        <v>42727</v>
      </c>
      <c r="V548" t="s">
        <v>71</v>
      </c>
      <c r="W548" t="str">
        <f>"          5840127479"</f>
        <v xml:space="preserve">          5840127479</v>
      </c>
      <c r="X548">
        <v>119.6</v>
      </c>
      <c r="Y548">
        <v>0</v>
      </c>
      <c r="Z548" s="5">
        <v>115</v>
      </c>
      <c r="AA548" s="3">
        <v>46</v>
      </c>
      <c r="AB548" s="5">
        <v>5290</v>
      </c>
      <c r="AC548">
        <v>115</v>
      </c>
      <c r="AD548">
        <v>46</v>
      </c>
      <c r="AE548" s="1">
        <v>5290</v>
      </c>
      <c r="AF548">
        <v>0</v>
      </c>
      <c r="AJ548">
        <v>0</v>
      </c>
      <c r="AK548">
        <v>0</v>
      </c>
      <c r="AL548">
        <v>0</v>
      </c>
      <c r="AM548">
        <v>0</v>
      </c>
      <c r="AN548">
        <v>0</v>
      </c>
      <c r="AO548">
        <v>0</v>
      </c>
      <c r="AP548" s="2">
        <v>42831</v>
      </c>
      <c r="AQ548" t="s">
        <v>72</v>
      </c>
      <c r="AR548" t="s">
        <v>72</v>
      </c>
      <c r="AS548">
        <v>309</v>
      </c>
      <c r="AT548" s="4">
        <v>42773</v>
      </c>
      <c r="AU548" t="s">
        <v>73</v>
      </c>
      <c r="AV548">
        <v>309</v>
      </c>
      <c r="AW548" s="4">
        <v>42773</v>
      </c>
      <c r="BD548">
        <v>0</v>
      </c>
      <c r="BN548" t="s">
        <v>74</v>
      </c>
    </row>
    <row r="549" spans="1:66">
      <c r="A549">
        <v>100695</v>
      </c>
      <c r="B549" t="s">
        <v>168</v>
      </c>
      <c r="C549" s="1">
        <v>43300101</v>
      </c>
      <c r="D549" t="s">
        <v>67</v>
      </c>
      <c r="H549" t="str">
        <f t="shared" ref="H549:I568" si="67">"00721920155"</f>
        <v>00721920155</v>
      </c>
      <c r="I549" t="str">
        <f t="shared" si="67"/>
        <v>00721920155</v>
      </c>
      <c r="K549" t="str">
        <f>""</f>
        <v/>
      </c>
      <c r="M549" t="s">
        <v>68</v>
      </c>
      <c r="N549" t="str">
        <f t="shared" si="66"/>
        <v>FOR</v>
      </c>
      <c r="O549" t="s">
        <v>69</v>
      </c>
      <c r="P549" t="s">
        <v>75</v>
      </c>
      <c r="Q549">
        <v>2016</v>
      </c>
      <c r="R549" s="4">
        <v>42653</v>
      </c>
      <c r="S549" s="2">
        <v>42669</v>
      </c>
      <c r="T549" s="2">
        <v>42667</v>
      </c>
      <c r="U549" s="4">
        <v>42727</v>
      </c>
      <c r="V549" t="s">
        <v>71</v>
      </c>
      <c r="W549" t="str">
        <f>"          5840127490"</f>
        <v xml:space="preserve">          5840127490</v>
      </c>
      <c r="X549">
        <v>119.6</v>
      </c>
      <c r="Y549">
        <v>0</v>
      </c>
      <c r="Z549" s="5">
        <v>115</v>
      </c>
      <c r="AA549" s="3">
        <v>46</v>
      </c>
      <c r="AB549" s="5">
        <v>5290</v>
      </c>
      <c r="AC549">
        <v>115</v>
      </c>
      <c r="AD549">
        <v>46</v>
      </c>
      <c r="AE549" s="1">
        <v>5290</v>
      </c>
      <c r="AF549">
        <v>0</v>
      </c>
      <c r="AJ549">
        <v>0</v>
      </c>
      <c r="AK549">
        <v>0</v>
      </c>
      <c r="AL549">
        <v>0</v>
      </c>
      <c r="AM549">
        <v>0</v>
      </c>
      <c r="AN549">
        <v>0</v>
      </c>
      <c r="AO549">
        <v>0</v>
      </c>
      <c r="AP549" s="2">
        <v>42831</v>
      </c>
      <c r="AQ549" t="s">
        <v>72</v>
      </c>
      <c r="AR549" t="s">
        <v>72</v>
      </c>
      <c r="AS549">
        <v>309</v>
      </c>
      <c r="AT549" s="4">
        <v>42773</v>
      </c>
      <c r="AU549" t="s">
        <v>73</v>
      </c>
      <c r="AV549">
        <v>309</v>
      </c>
      <c r="AW549" s="4">
        <v>42773</v>
      </c>
      <c r="BD549">
        <v>0</v>
      </c>
      <c r="BN549" t="s">
        <v>74</v>
      </c>
    </row>
    <row r="550" spans="1:66">
      <c r="A550">
        <v>100695</v>
      </c>
      <c r="B550" t="s">
        <v>168</v>
      </c>
      <c r="C550" s="1">
        <v>43300101</v>
      </c>
      <c r="D550" t="s">
        <v>67</v>
      </c>
      <c r="H550" t="str">
        <f t="shared" si="67"/>
        <v>00721920155</v>
      </c>
      <c r="I550" t="str">
        <f t="shared" si="67"/>
        <v>00721920155</v>
      </c>
      <c r="K550" t="str">
        <f>""</f>
        <v/>
      </c>
      <c r="M550" t="s">
        <v>68</v>
      </c>
      <c r="N550" t="str">
        <f t="shared" si="66"/>
        <v>FOR</v>
      </c>
      <c r="O550" t="s">
        <v>69</v>
      </c>
      <c r="P550" t="s">
        <v>75</v>
      </c>
      <c r="Q550">
        <v>2016</v>
      </c>
      <c r="R550" s="4">
        <v>42653</v>
      </c>
      <c r="S550" s="2">
        <v>42669</v>
      </c>
      <c r="T550" s="2">
        <v>42667</v>
      </c>
      <c r="U550" s="4">
        <v>42727</v>
      </c>
      <c r="V550" t="s">
        <v>71</v>
      </c>
      <c r="W550" t="str">
        <f>"          5840127498"</f>
        <v xml:space="preserve">          5840127498</v>
      </c>
      <c r="X550">
        <v>119.6</v>
      </c>
      <c r="Y550">
        <v>0</v>
      </c>
      <c r="Z550" s="5">
        <v>115</v>
      </c>
      <c r="AA550" s="3">
        <v>46</v>
      </c>
      <c r="AB550" s="5">
        <v>5290</v>
      </c>
      <c r="AC550">
        <v>115</v>
      </c>
      <c r="AD550">
        <v>46</v>
      </c>
      <c r="AE550" s="1">
        <v>5290</v>
      </c>
      <c r="AF550">
        <v>0</v>
      </c>
      <c r="AJ550">
        <v>0</v>
      </c>
      <c r="AK550">
        <v>0</v>
      </c>
      <c r="AL550">
        <v>0</v>
      </c>
      <c r="AM550">
        <v>0</v>
      </c>
      <c r="AN550">
        <v>0</v>
      </c>
      <c r="AO550">
        <v>0</v>
      </c>
      <c r="AP550" s="2">
        <v>42831</v>
      </c>
      <c r="AQ550" t="s">
        <v>72</v>
      </c>
      <c r="AR550" t="s">
        <v>72</v>
      </c>
      <c r="AS550">
        <v>309</v>
      </c>
      <c r="AT550" s="4">
        <v>42773</v>
      </c>
      <c r="AU550" t="s">
        <v>73</v>
      </c>
      <c r="AV550">
        <v>309</v>
      </c>
      <c r="AW550" s="4">
        <v>42773</v>
      </c>
      <c r="BD550">
        <v>0</v>
      </c>
      <c r="BN550" t="s">
        <v>74</v>
      </c>
    </row>
    <row r="551" spans="1:66">
      <c r="A551">
        <v>100695</v>
      </c>
      <c r="B551" t="s">
        <v>168</v>
      </c>
      <c r="C551" s="1">
        <v>43300101</v>
      </c>
      <c r="D551" t="s">
        <v>67</v>
      </c>
      <c r="H551" t="str">
        <f t="shared" si="67"/>
        <v>00721920155</v>
      </c>
      <c r="I551" t="str">
        <f t="shared" si="67"/>
        <v>00721920155</v>
      </c>
      <c r="K551" t="str">
        <f>""</f>
        <v/>
      </c>
      <c r="M551" t="s">
        <v>68</v>
      </c>
      <c r="N551" t="str">
        <f t="shared" si="66"/>
        <v>FOR</v>
      </c>
      <c r="O551" t="s">
        <v>69</v>
      </c>
      <c r="P551" t="s">
        <v>75</v>
      </c>
      <c r="Q551">
        <v>2016</v>
      </c>
      <c r="R551" s="4">
        <v>42654</v>
      </c>
      <c r="S551" s="2">
        <v>42669</v>
      </c>
      <c r="T551" s="2">
        <v>42667</v>
      </c>
      <c r="U551" s="4">
        <v>42727</v>
      </c>
      <c r="V551" t="s">
        <v>71</v>
      </c>
      <c r="W551" t="str">
        <f>"          5840127572"</f>
        <v xml:space="preserve">          5840127572</v>
      </c>
      <c r="X551">
        <v>119.6</v>
      </c>
      <c r="Y551">
        <v>0</v>
      </c>
      <c r="Z551" s="5">
        <v>115</v>
      </c>
      <c r="AA551" s="3">
        <v>46</v>
      </c>
      <c r="AB551" s="5">
        <v>5290</v>
      </c>
      <c r="AC551">
        <v>115</v>
      </c>
      <c r="AD551">
        <v>46</v>
      </c>
      <c r="AE551" s="1">
        <v>5290</v>
      </c>
      <c r="AF551">
        <v>0</v>
      </c>
      <c r="AJ551">
        <v>0</v>
      </c>
      <c r="AK551">
        <v>0</v>
      </c>
      <c r="AL551">
        <v>0</v>
      </c>
      <c r="AM551">
        <v>0</v>
      </c>
      <c r="AN551">
        <v>0</v>
      </c>
      <c r="AO551">
        <v>0</v>
      </c>
      <c r="AP551" s="2">
        <v>42831</v>
      </c>
      <c r="AQ551" t="s">
        <v>72</v>
      </c>
      <c r="AR551" t="s">
        <v>72</v>
      </c>
      <c r="AS551">
        <v>309</v>
      </c>
      <c r="AT551" s="4">
        <v>42773</v>
      </c>
      <c r="AU551" t="s">
        <v>73</v>
      </c>
      <c r="AV551">
        <v>309</v>
      </c>
      <c r="AW551" s="4">
        <v>42773</v>
      </c>
      <c r="BD551">
        <v>0</v>
      </c>
      <c r="BN551" t="s">
        <v>74</v>
      </c>
    </row>
    <row r="552" spans="1:66">
      <c r="A552">
        <v>100695</v>
      </c>
      <c r="B552" t="s">
        <v>168</v>
      </c>
      <c r="C552" s="1">
        <v>43300101</v>
      </c>
      <c r="D552" t="s">
        <v>67</v>
      </c>
      <c r="H552" t="str">
        <f t="shared" si="67"/>
        <v>00721920155</v>
      </c>
      <c r="I552" t="str">
        <f t="shared" si="67"/>
        <v>00721920155</v>
      </c>
      <c r="K552" t="str">
        <f>""</f>
        <v/>
      </c>
      <c r="M552" t="s">
        <v>68</v>
      </c>
      <c r="N552" t="str">
        <f t="shared" si="66"/>
        <v>FOR</v>
      </c>
      <c r="O552" t="s">
        <v>69</v>
      </c>
      <c r="P552" t="s">
        <v>75</v>
      </c>
      <c r="Q552">
        <v>2016</v>
      </c>
      <c r="R552" s="4">
        <v>42655</v>
      </c>
      <c r="S552" s="2">
        <v>42669</v>
      </c>
      <c r="T552" s="2">
        <v>42667</v>
      </c>
      <c r="U552" s="4">
        <v>42727</v>
      </c>
      <c r="V552" t="s">
        <v>71</v>
      </c>
      <c r="W552" t="str">
        <f>"          5840127637"</f>
        <v xml:space="preserve">          5840127637</v>
      </c>
      <c r="X552">
        <v>119.6</v>
      </c>
      <c r="Y552">
        <v>0</v>
      </c>
      <c r="Z552" s="5">
        <v>115</v>
      </c>
      <c r="AA552" s="3">
        <v>46</v>
      </c>
      <c r="AB552" s="5">
        <v>5290</v>
      </c>
      <c r="AC552">
        <v>115</v>
      </c>
      <c r="AD552">
        <v>46</v>
      </c>
      <c r="AE552" s="1">
        <v>5290</v>
      </c>
      <c r="AF552">
        <v>0</v>
      </c>
      <c r="AJ552">
        <v>0</v>
      </c>
      <c r="AK552">
        <v>0</v>
      </c>
      <c r="AL552">
        <v>0</v>
      </c>
      <c r="AM552">
        <v>0</v>
      </c>
      <c r="AN552">
        <v>0</v>
      </c>
      <c r="AO552">
        <v>0</v>
      </c>
      <c r="AP552" s="2">
        <v>42831</v>
      </c>
      <c r="AQ552" t="s">
        <v>72</v>
      </c>
      <c r="AR552" t="s">
        <v>72</v>
      </c>
      <c r="AS552">
        <v>309</v>
      </c>
      <c r="AT552" s="4">
        <v>42773</v>
      </c>
      <c r="AU552" t="s">
        <v>73</v>
      </c>
      <c r="AV552">
        <v>309</v>
      </c>
      <c r="AW552" s="4">
        <v>42773</v>
      </c>
      <c r="BD552">
        <v>0</v>
      </c>
      <c r="BN552" t="s">
        <v>74</v>
      </c>
    </row>
    <row r="553" spans="1:66">
      <c r="A553">
        <v>100695</v>
      </c>
      <c r="B553" t="s">
        <v>168</v>
      </c>
      <c r="C553" s="1">
        <v>43300101</v>
      </c>
      <c r="D553" t="s">
        <v>67</v>
      </c>
      <c r="H553" t="str">
        <f t="shared" si="67"/>
        <v>00721920155</v>
      </c>
      <c r="I553" t="str">
        <f t="shared" si="67"/>
        <v>00721920155</v>
      </c>
      <c r="K553" t="str">
        <f>""</f>
        <v/>
      </c>
      <c r="M553" t="s">
        <v>68</v>
      </c>
      <c r="N553" t="str">
        <f t="shared" si="66"/>
        <v>FOR</v>
      </c>
      <c r="O553" t="s">
        <v>69</v>
      </c>
      <c r="P553" t="s">
        <v>75</v>
      </c>
      <c r="Q553">
        <v>2016</v>
      </c>
      <c r="R553" s="4">
        <v>42655</v>
      </c>
      <c r="S553" s="2">
        <v>42669</v>
      </c>
      <c r="T553" s="2">
        <v>42667</v>
      </c>
      <c r="U553" s="4">
        <v>42727</v>
      </c>
      <c r="V553" t="s">
        <v>71</v>
      </c>
      <c r="W553" t="str">
        <f>"          5840127651"</f>
        <v xml:space="preserve">          5840127651</v>
      </c>
      <c r="X553">
        <v>119.6</v>
      </c>
      <c r="Y553">
        <v>0</v>
      </c>
      <c r="Z553" s="5">
        <v>115</v>
      </c>
      <c r="AA553" s="3">
        <v>46</v>
      </c>
      <c r="AB553" s="5">
        <v>5290</v>
      </c>
      <c r="AC553">
        <v>115</v>
      </c>
      <c r="AD553">
        <v>46</v>
      </c>
      <c r="AE553" s="1">
        <v>5290</v>
      </c>
      <c r="AF553">
        <v>0</v>
      </c>
      <c r="AJ553">
        <v>0</v>
      </c>
      <c r="AK553">
        <v>0</v>
      </c>
      <c r="AL553">
        <v>0</v>
      </c>
      <c r="AM553">
        <v>0</v>
      </c>
      <c r="AN553">
        <v>0</v>
      </c>
      <c r="AO553">
        <v>0</v>
      </c>
      <c r="AP553" s="2">
        <v>42831</v>
      </c>
      <c r="AQ553" t="s">
        <v>72</v>
      </c>
      <c r="AR553" t="s">
        <v>72</v>
      </c>
      <c r="AS553">
        <v>309</v>
      </c>
      <c r="AT553" s="4">
        <v>42773</v>
      </c>
      <c r="AU553" t="s">
        <v>73</v>
      </c>
      <c r="AV553">
        <v>309</v>
      </c>
      <c r="AW553" s="4">
        <v>42773</v>
      </c>
      <c r="BD553">
        <v>0</v>
      </c>
      <c r="BN553" t="s">
        <v>74</v>
      </c>
    </row>
    <row r="554" spans="1:66">
      <c r="A554">
        <v>100695</v>
      </c>
      <c r="B554" t="s">
        <v>168</v>
      </c>
      <c r="C554" s="1">
        <v>43300101</v>
      </c>
      <c r="D554" t="s">
        <v>67</v>
      </c>
      <c r="H554" t="str">
        <f t="shared" si="67"/>
        <v>00721920155</v>
      </c>
      <c r="I554" t="str">
        <f t="shared" si="67"/>
        <v>00721920155</v>
      </c>
      <c r="K554" t="str">
        <f>""</f>
        <v/>
      </c>
      <c r="M554" t="s">
        <v>68</v>
      </c>
      <c r="N554" t="str">
        <f t="shared" si="66"/>
        <v>FOR</v>
      </c>
      <c r="O554" t="s">
        <v>69</v>
      </c>
      <c r="P554" t="s">
        <v>75</v>
      </c>
      <c r="Q554">
        <v>2016</v>
      </c>
      <c r="R554" s="4">
        <v>42656</v>
      </c>
      <c r="S554" s="2">
        <v>42669</v>
      </c>
      <c r="T554" s="2">
        <v>42667</v>
      </c>
      <c r="U554" s="4">
        <v>42727</v>
      </c>
      <c r="V554" t="s">
        <v>71</v>
      </c>
      <c r="W554" t="str">
        <f>"          5840127682"</f>
        <v xml:space="preserve">          5840127682</v>
      </c>
      <c r="X554">
        <v>119.6</v>
      </c>
      <c r="Y554">
        <v>0</v>
      </c>
      <c r="Z554" s="5">
        <v>115</v>
      </c>
      <c r="AA554" s="3">
        <v>46</v>
      </c>
      <c r="AB554" s="5">
        <v>5290</v>
      </c>
      <c r="AC554">
        <v>115</v>
      </c>
      <c r="AD554">
        <v>46</v>
      </c>
      <c r="AE554" s="1">
        <v>5290</v>
      </c>
      <c r="AF554">
        <v>0</v>
      </c>
      <c r="AJ554">
        <v>0</v>
      </c>
      <c r="AK554">
        <v>0</v>
      </c>
      <c r="AL554">
        <v>0</v>
      </c>
      <c r="AM554">
        <v>0</v>
      </c>
      <c r="AN554">
        <v>0</v>
      </c>
      <c r="AO554">
        <v>0</v>
      </c>
      <c r="AP554" s="2">
        <v>42831</v>
      </c>
      <c r="AQ554" t="s">
        <v>72</v>
      </c>
      <c r="AR554" t="s">
        <v>72</v>
      </c>
      <c r="AS554">
        <v>309</v>
      </c>
      <c r="AT554" s="4">
        <v>42773</v>
      </c>
      <c r="AU554" t="s">
        <v>73</v>
      </c>
      <c r="AV554">
        <v>309</v>
      </c>
      <c r="AW554" s="4">
        <v>42773</v>
      </c>
      <c r="BD554">
        <v>0</v>
      </c>
      <c r="BN554" t="s">
        <v>74</v>
      </c>
    </row>
    <row r="555" spans="1:66">
      <c r="A555">
        <v>100695</v>
      </c>
      <c r="B555" t="s">
        <v>168</v>
      </c>
      <c r="C555" s="1">
        <v>43300101</v>
      </c>
      <c r="D555" t="s">
        <v>67</v>
      </c>
      <c r="H555" t="str">
        <f t="shared" si="67"/>
        <v>00721920155</v>
      </c>
      <c r="I555" t="str">
        <f t="shared" si="67"/>
        <v>00721920155</v>
      </c>
      <c r="K555" t="str">
        <f>""</f>
        <v/>
      </c>
      <c r="M555" t="s">
        <v>68</v>
      </c>
      <c r="N555" t="str">
        <f t="shared" si="66"/>
        <v>FOR</v>
      </c>
      <c r="O555" t="s">
        <v>69</v>
      </c>
      <c r="P555" t="s">
        <v>75</v>
      </c>
      <c r="Q555">
        <v>2016</v>
      </c>
      <c r="R555" s="4">
        <v>42656</v>
      </c>
      <c r="S555" s="2">
        <v>42669</v>
      </c>
      <c r="T555" s="2">
        <v>42667</v>
      </c>
      <c r="U555" s="4">
        <v>42727</v>
      </c>
      <c r="V555" t="s">
        <v>71</v>
      </c>
      <c r="W555" t="str">
        <f>"          5840127691"</f>
        <v xml:space="preserve">          5840127691</v>
      </c>
      <c r="X555">
        <v>119.6</v>
      </c>
      <c r="Y555">
        <v>0</v>
      </c>
      <c r="Z555" s="5">
        <v>115</v>
      </c>
      <c r="AA555" s="3">
        <v>46</v>
      </c>
      <c r="AB555" s="5">
        <v>5290</v>
      </c>
      <c r="AC555">
        <v>115</v>
      </c>
      <c r="AD555">
        <v>46</v>
      </c>
      <c r="AE555" s="1">
        <v>5290</v>
      </c>
      <c r="AF555">
        <v>0</v>
      </c>
      <c r="AJ555">
        <v>0</v>
      </c>
      <c r="AK555">
        <v>0</v>
      </c>
      <c r="AL555">
        <v>0</v>
      </c>
      <c r="AM555">
        <v>0</v>
      </c>
      <c r="AN555">
        <v>0</v>
      </c>
      <c r="AO555">
        <v>0</v>
      </c>
      <c r="AP555" s="2">
        <v>42831</v>
      </c>
      <c r="AQ555" t="s">
        <v>72</v>
      </c>
      <c r="AR555" t="s">
        <v>72</v>
      </c>
      <c r="AS555">
        <v>309</v>
      </c>
      <c r="AT555" s="4">
        <v>42773</v>
      </c>
      <c r="AU555" t="s">
        <v>73</v>
      </c>
      <c r="AV555">
        <v>309</v>
      </c>
      <c r="AW555" s="4">
        <v>42773</v>
      </c>
      <c r="BD555">
        <v>0</v>
      </c>
      <c r="BN555" t="s">
        <v>74</v>
      </c>
    </row>
    <row r="556" spans="1:66">
      <c r="A556">
        <v>100695</v>
      </c>
      <c r="B556" t="s">
        <v>168</v>
      </c>
      <c r="C556" s="1">
        <v>43300101</v>
      </c>
      <c r="D556" t="s">
        <v>67</v>
      </c>
      <c r="H556" t="str">
        <f t="shared" si="67"/>
        <v>00721920155</v>
      </c>
      <c r="I556" t="str">
        <f t="shared" si="67"/>
        <v>00721920155</v>
      </c>
      <c r="K556" t="str">
        <f>""</f>
        <v/>
      </c>
      <c r="M556" t="s">
        <v>68</v>
      </c>
      <c r="N556" t="str">
        <f t="shared" si="66"/>
        <v>FOR</v>
      </c>
      <c r="O556" t="s">
        <v>69</v>
      </c>
      <c r="P556" t="s">
        <v>75</v>
      </c>
      <c r="Q556">
        <v>2016</v>
      </c>
      <c r="R556" s="4">
        <v>42656</v>
      </c>
      <c r="S556" s="2">
        <v>42669</v>
      </c>
      <c r="T556" s="2">
        <v>42667</v>
      </c>
      <c r="U556" s="4">
        <v>42727</v>
      </c>
      <c r="V556" t="s">
        <v>71</v>
      </c>
      <c r="W556" t="str">
        <f>"          5840127705"</f>
        <v xml:space="preserve">          5840127705</v>
      </c>
      <c r="X556">
        <v>119.6</v>
      </c>
      <c r="Y556">
        <v>0</v>
      </c>
      <c r="Z556" s="5">
        <v>115</v>
      </c>
      <c r="AA556" s="3">
        <v>46</v>
      </c>
      <c r="AB556" s="5">
        <v>5290</v>
      </c>
      <c r="AC556">
        <v>115</v>
      </c>
      <c r="AD556">
        <v>46</v>
      </c>
      <c r="AE556" s="1">
        <v>5290</v>
      </c>
      <c r="AF556">
        <v>0</v>
      </c>
      <c r="AJ556">
        <v>0</v>
      </c>
      <c r="AK556">
        <v>0</v>
      </c>
      <c r="AL556">
        <v>0</v>
      </c>
      <c r="AM556">
        <v>0</v>
      </c>
      <c r="AN556">
        <v>0</v>
      </c>
      <c r="AO556">
        <v>0</v>
      </c>
      <c r="AP556" s="2">
        <v>42831</v>
      </c>
      <c r="AQ556" t="s">
        <v>72</v>
      </c>
      <c r="AR556" t="s">
        <v>72</v>
      </c>
      <c r="AS556">
        <v>309</v>
      </c>
      <c r="AT556" s="4">
        <v>42773</v>
      </c>
      <c r="AU556" t="s">
        <v>73</v>
      </c>
      <c r="AV556">
        <v>309</v>
      </c>
      <c r="AW556" s="4">
        <v>42773</v>
      </c>
      <c r="BD556">
        <v>0</v>
      </c>
      <c r="BN556" t="s">
        <v>74</v>
      </c>
    </row>
    <row r="557" spans="1:66">
      <c r="A557">
        <v>100695</v>
      </c>
      <c r="B557" t="s">
        <v>168</v>
      </c>
      <c r="C557" s="1">
        <v>43300101</v>
      </c>
      <c r="D557" t="s">
        <v>67</v>
      </c>
      <c r="H557" t="str">
        <f t="shared" si="67"/>
        <v>00721920155</v>
      </c>
      <c r="I557" t="str">
        <f t="shared" si="67"/>
        <v>00721920155</v>
      </c>
      <c r="K557" t="str">
        <f>""</f>
        <v/>
      </c>
      <c r="M557" t="s">
        <v>68</v>
      </c>
      <c r="N557" t="str">
        <f t="shared" si="66"/>
        <v>FOR</v>
      </c>
      <c r="O557" t="s">
        <v>69</v>
      </c>
      <c r="P557" t="s">
        <v>75</v>
      </c>
      <c r="Q557">
        <v>2016</v>
      </c>
      <c r="R557" s="4">
        <v>42669</v>
      </c>
      <c r="S557" s="2">
        <v>42676</v>
      </c>
      <c r="T557" s="2">
        <v>42675</v>
      </c>
      <c r="U557" s="4">
        <v>42735</v>
      </c>
      <c r="V557" t="s">
        <v>71</v>
      </c>
      <c r="W557" t="str">
        <f>"          5840128361"</f>
        <v xml:space="preserve">          5840128361</v>
      </c>
      <c r="X557">
        <v>119.6</v>
      </c>
      <c r="Y557">
        <v>0</v>
      </c>
      <c r="Z557" s="5">
        <v>115</v>
      </c>
      <c r="AA557" s="3">
        <v>38</v>
      </c>
      <c r="AB557" s="5">
        <v>4370</v>
      </c>
      <c r="AC557">
        <v>115</v>
      </c>
      <c r="AD557">
        <v>38</v>
      </c>
      <c r="AE557" s="1">
        <v>4370</v>
      </c>
      <c r="AF557">
        <v>0</v>
      </c>
      <c r="AJ557">
        <v>0</v>
      </c>
      <c r="AK557">
        <v>0</v>
      </c>
      <c r="AL557">
        <v>0</v>
      </c>
      <c r="AM557">
        <v>0</v>
      </c>
      <c r="AN557">
        <v>0</v>
      </c>
      <c r="AO557">
        <v>0</v>
      </c>
      <c r="AP557" s="2">
        <v>42831</v>
      </c>
      <c r="AQ557" t="s">
        <v>72</v>
      </c>
      <c r="AR557" t="s">
        <v>72</v>
      </c>
      <c r="AS557">
        <v>309</v>
      </c>
      <c r="AT557" s="4">
        <v>42773</v>
      </c>
      <c r="AU557" t="s">
        <v>73</v>
      </c>
      <c r="AV557">
        <v>309</v>
      </c>
      <c r="AW557" s="4">
        <v>42773</v>
      </c>
      <c r="BD557">
        <v>0</v>
      </c>
      <c r="BN557" t="s">
        <v>74</v>
      </c>
    </row>
    <row r="558" spans="1:66">
      <c r="A558">
        <v>100695</v>
      </c>
      <c r="B558" t="s">
        <v>168</v>
      </c>
      <c r="C558" s="1">
        <v>43300101</v>
      </c>
      <c r="D558" t="s">
        <v>67</v>
      </c>
      <c r="H558" t="str">
        <f t="shared" si="67"/>
        <v>00721920155</v>
      </c>
      <c r="I558" t="str">
        <f t="shared" si="67"/>
        <v>00721920155</v>
      </c>
      <c r="K558" t="str">
        <f>""</f>
        <v/>
      </c>
      <c r="M558" t="s">
        <v>68</v>
      </c>
      <c r="N558" t="str">
        <f t="shared" si="66"/>
        <v>FOR</v>
      </c>
      <c r="O558" t="s">
        <v>69</v>
      </c>
      <c r="P558" t="s">
        <v>75</v>
      </c>
      <c r="Q558">
        <v>2016</v>
      </c>
      <c r="R558" s="4">
        <v>42669</v>
      </c>
      <c r="S558" s="2">
        <v>42676</v>
      </c>
      <c r="T558" s="2">
        <v>42675</v>
      </c>
      <c r="U558" s="4">
        <v>42735</v>
      </c>
      <c r="V558" t="s">
        <v>71</v>
      </c>
      <c r="W558" t="str">
        <f>"          5840128382"</f>
        <v xml:space="preserve">          5840128382</v>
      </c>
      <c r="X558">
        <v>119.6</v>
      </c>
      <c r="Y558">
        <v>0</v>
      </c>
      <c r="Z558" s="5">
        <v>115</v>
      </c>
      <c r="AA558" s="3">
        <v>38</v>
      </c>
      <c r="AB558" s="5">
        <v>4370</v>
      </c>
      <c r="AC558">
        <v>115</v>
      </c>
      <c r="AD558">
        <v>38</v>
      </c>
      <c r="AE558" s="1">
        <v>4370</v>
      </c>
      <c r="AF558">
        <v>0</v>
      </c>
      <c r="AJ558">
        <v>0</v>
      </c>
      <c r="AK558">
        <v>0</v>
      </c>
      <c r="AL558">
        <v>0</v>
      </c>
      <c r="AM558">
        <v>0</v>
      </c>
      <c r="AN558">
        <v>0</v>
      </c>
      <c r="AO558">
        <v>0</v>
      </c>
      <c r="AP558" s="2">
        <v>42831</v>
      </c>
      <c r="AQ558" t="s">
        <v>72</v>
      </c>
      <c r="AR558" t="s">
        <v>72</v>
      </c>
      <c r="AS558">
        <v>309</v>
      </c>
      <c r="AT558" s="4">
        <v>42773</v>
      </c>
      <c r="AU558" t="s">
        <v>73</v>
      </c>
      <c r="AV558">
        <v>309</v>
      </c>
      <c r="AW558" s="4">
        <v>42773</v>
      </c>
      <c r="BD558">
        <v>0</v>
      </c>
      <c r="BN558" t="s">
        <v>74</v>
      </c>
    </row>
    <row r="559" spans="1:66">
      <c r="A559">
        <v>100695</v>
      </c>
      <c r="B559" t="s">
        <v>168</v>
      </c>
      <c r="C559" s="1">
        <v>43300101</v>
      </c>
      <c r="D559" t="s">
        <v>67</v>
      </c>
      <c r="H559" t="str">
        <f t="shared" si="67"/>
        <v>00721920155</v>
      </c>
      <c r="I559" t="str">
        <f t="shared" si="67"/>
        <v>00721920155</v>
      </c>
      <c r="K559" t="str">
        <f>""</f>
        <v/>
      </c>
      <c r="M559" t="s">
        <v>68</v>
      </c>
      <c r="N559" t="str">
        <f t="shared" si="66"/>
        <v>FOR</v>
      </c>
      <c r="O559" t="s">
        <v>69</v>
      </c>
      <c r="P559" t="s">
        <v>75</v>
      </c>
      <c r="Q559">
        <v>2016</v>
      </c>
      <c r="R559" s="4">
        <v>42669</v>
      </c>
      <c r="S559" s="2">
        <v>42676</v>
      </c>
      <c r="T559" s="2">
        <v>42675</v>
      </c>
      <c r="U559" s="4">
        <v>42735</v>
      </c>
      <c r="V559" t="s">
        <v>71</v>
      </c>
      <c r="W559" t="str">
        <f>"          5840128384"</f>
        <v xml:space="preserve">          5840128384</v>
      </c>
      <c r="X559">
        <v>119.6</v>
      </c>
      <c r="Y559">
        <v>0</v>
      </c>
      <c r="Z559" s="5">
        <v>115</v>
      </c>
      <c r="AA559" s="3">
        <v>38</v>
      </c>
      <c r="AB559" s="5">
        <v>4370</v>
      </c>
      <c r="AC559">
        <v>115</v>
      </c>
      <c r="AD559">
        <v>38</v>
      </c>
      <c r="AE559" s="1">
        <v>4370</v>
      </c>
      <c r="AF559">
        <v>0</v>
      </c>
      <c r="AJ559">
        <v>0</v>
      </c>
      <c r="AK559">
        <v>0</v>
      </c>
      <c r="AL559">
        <v>0</v>
      </c>
      <c r="AM559">
        <v>0</v>
      </c>
      <c r="AN559">
        <v>0</v>
      </c>
      <c r="AO559">
        <v>0</v>
      </c>
      <c r="AP559" s="2">
        <v>42831</v>
      </c>
      <c r="AQ559" t="s">
        <v>72</v>
      </c>
      <c r="AR559" t="s">
        <v>72</v>
      </c>
      <c r="AS559">
        <v>309</v>
      </c>
      <c r="AT559" s="4">
        <v>42773</v>
      </c>
      <c r="AU559" t="s">
        <v>73</v>
      </c>
      <c r="AV559">
        <v>309</v>
      </c>
      <c r="AW559" s="4">
        <v>42773</v>
      </c>
      <c r="BD559">
        <v>0</v>
      </c>
      <c r="BN559" t="s">
        <v>74</v>
      </c>
    </row>
    <row r="560" spans="1:66">
      <c r="A560">
        <v>100695</v>
      </c>
      <c r="B560" t="s">
        <v>168</v>
      </c>
      <c r="C560" s="1">
        <v>43300101</v>
      </c>
      <c r="D560" t="s">
        <v>67</v>
      </c>
      <c r="H560" t="str">
        <f t="shared" si="67"/>
        <v>00721920155</v>
      </c>
      <c r="I560" t="str">
        <f t="shared" si="67"/>
        <v>00721920155</v>
      </c>
      <c r="K560" t="str">
        <f>""</f>
        <v/>
      </c>
      <c r="M560" t="s">
        <v>68</v>
      </c>
      <c r="N560" t="str">
        <f t="shared" si="66"/>
        <v>FOR</v>
      </c>
      <c r="O560" t="s">
        <v>69</v>
      </c>
      <c r="P560" t="s">
        <v>75</v>
      </c>
      <c r="Q560">
        <v>2016</v>
      </c>
      <c r="R560" s="4">
        <v>42669</v>
      </c>
      <c r="S560" s="2">
        <v>42676</v>
      </c>
      <c r="T560" s="2">
        <v>42675</v>
      </c>
      <c r="U560" s="4">
        <v>42735</v>
      </c>
      <c r="V560" t="s">
        <v>71</v>
      </c>
      <c r="W560" t="str">
        <f>"          5840128388"</f>
        <v xml:space="preserve">          5840128388</v>
      </c>
      <c r="X560">
        <v>119.6</v>
      </c>
      <c r="Y560">
        <v>0</v>
      </c>
      <c r="Z560" s="5">
        <v>115</v>
      </c>
      <c r="AA560" s="3">
        <v>38</v>
      </c>
      <c r="AB560" s="5">
        <v>4370</v>
      </c>
      <c r="AC560">
        <v>115</v>
      </c>
      <c r="AD560">
        <v>38</v>
      </c>
      <c r="AE560" s="1">
        <v>4370</v>
      </c>
      <c r="AF560">
        <v>0</v>
      </c>
      <c r="AJ560">
        <v>0</v>
      </c>
      <c r="AK560">
        <v>0</v>
      </c>
      <c r="AL560">
        <v>0</v>
      </c>
      <c r="AM560">
        <v>0</v>
      </c>
      <c r="AN560">
        <v>0</v>
      </c>
      <c r="AO560">
        <v>0</v>
      </c>
      <c r="AP560" s="2">
        <v>42831</v>
      </c>
      <c r="AQ560" t="s">
        <v>72</v>
      </c>
      <c r="AR560" t="s">
        <v>72</v>
      </c>
      <c r="AS560">
        <v>309</v>
      </c>
      <c r="AT560" s="4">
        <v>42773</v>
      </c>
      <c r="AU560" t="s">
        <v>73</v>
      </c>
      <c r="AV560">
        <v>309</v>
      </c>
      <c r="AW560" s="4">
        <v>42773</v>
      </c>
      <c r="BD560">
        <v>0</v>
      </c>
      <c r="BN560" t="s">
        <v>74</v>
      </c>
    </row>
    <row r="561" spans="1:66">
      <c r="A561">
        <v>100695</v>
      </c>
      <c r="B561" t="s">
        <v>168</v>
      </c>
      <c r="C561" s="1">
        <v>43300101</v>
      </c>
      <c r="D561" t="s">
        <v>67</v>
      </c>
      <c r="H561" t="str">
        <f t="shared" si="67"/>
        <v>00721920155</v>
      </c>
      <c r="I561" t="str">
        <f t="shared" si="67"/>
        <v>00721920155</v>
      </c>
      <c r="K561" t="str">
        <f>""</f>
        <v/>
      </c>
      <c r="M561" t="s">
        <v>68</v>
      </c>
      <c r="N561" t="str">
        <f t="shared" si="66"/>
        <v>FOR</v>
      </c>
      <c r="O561" t="s">
        <v>69</v>
      </c>
      <c r="P561" t="s">
        <v>75</v>
      </c>
      <c r="Q561">
        <v>2016</v>
      </c>
      <c r="R561" s="4">
        <v>42669</v>
      </c>
      <c r="S561" s="2">
        <v>42676</v>
      </c>
      <c r="T561" s="2">
        <v>42675</v>
      </c>
      <c r="U561" s="4">
        <v>42735</v>
      </c>
      <c r="V561" t="s">
        <v>71</v>
      </c>
      <c r="W561" t="str">
        <f>"          5840128393"</f>
        <v xml:space="preserve">          5840128393</v>
      </c>
      <c r="X561">
        <v>119.6</v>
      </c>
      <c r="Y561">
        <v>0</v>
      </c>
      <c r="Z561" s="5">
        <v>115</v>
      </c>
      <c r="AA561" s="3">
        <v>38</v>
      </c>
      <c r="AB561" s="5">
        <v>4370</v>
      </c>
      <c r="AC561">
        <v>115</v>
      </c>
      <c r="AD561">
        <v>38</v>
      </c>
      <c r="AE561" s="1">
        <v>4370</v>
      </c>
      <c r="AF561">
        <v>0</v>
      </c>
      <c r="AJ561">
        <v>0</v>
      </c>
      <c r="AK561">
        <v>0</v>
      </c>
      <c r="AL561">
        <v>0</v>
      </c>
      <c r="AM561">
        <v>0</v>
      </c>
      <c r="AN561">
        <v>0</v>
      </c>
      <c r="AO561">
        <v>0</v>
      </c>
      <c r="AP561" s="2">
        <v>42831</v>
      </c>
      <c r="AQ561" t="s">
        <v>72</v>
      </c>
      <c r="AR561" t="s">
        <v>72</v>
      </c>
      <c r="AS561">
        <v>309</v>
      </c>
      <c r="AT561" s="4">
        <v>42773</v>
      </c>
      <c r="AU561" t="s">
        <v>73</v>
      </c>
      <c r="AV561">
        <v>309</v>
      </c>
      <c r="AW561" s="4">
        <v>42773</v>
      </c>
      <c r="BD561">
        <v>0</v>
      </c>
      <c r="BN561" t="s">
        <v>74</v>
      </c>
    </row>
    <row r="562" spans="1:66">
      <c r="A562">
        <v>100695</v>
      </c>
      <c r="B562" t="s">
        <v>168</v>
      </c>
      <c r="C562" s="1">
        <v>43300101</v>
      </c>
      <c r="D562" t="s">
        <v>67</v>
      </c>
      <c r="H562" t="str">
        <f t="shared" si="67"/>
        <v>00721920155</v>
      </c>
      <c r="I562" t="str">
        <f t="shared" si="67"/>
        <v>00721920155</v>
      </c>
      <c r="K562" t="str">
        <f>""</f>
        <v/>
      </c>
      <c r="M562" t="s">
        <v>68</v>
      </c>
      <c r="N562" t="str">
        <f t="shared" si="66"/>
        <v>FOR</v>
      </c>
      <c r="O562" t="s">
        <v>69</v>
      </c>
      <c r="P562" t="s">
        <v>75</v>
      </c>
      <c r="Q562">
        <v>2016</v>
      </c>
      <c r="R562" s="4">
        <v>42670</v>
      </c>
      <c r="S562" s="2">
        <v>42676</v>
      </c>
      <c r="T562" s="2">
        <v>42675</v>
      </c>
      <c r="U562" s="4">
        <v>42735</v>
      </c>
      <c r="V562" t="s">
        <v>71</v>
      </c>
      <c r="W562" t="str">
        <f>"          5840128420"</f>
        <v xml:space="preserve">          5840128420</v>
      </c>
      <c r="X562">
        <v>119.6</v>
      </c>
      <c r="Y562">
        <v>0</v>
      </c>
      <c r="Z562" s="5">
        <v>115</v>
      </c>
      <c r="AA562" s="3">
        <v>38</v>
      </c>
      <c r="AB562" s="5">
        <v>4370</v>
      </c>
      <c r="AC562">
        <v>115</v>
      </c>
      <c r="AD562">
        <v>38</v>
      </c>
      <c r="AE562" s="1">
        <v>4370</v>
      </c>
      <c r="AF562">
        <v>0</v>
      </c>
      <c r="AJ562">
        <v>0</v>
      </c>
      <c r="AK562">
        <v>0</v>
      </c>
      <c r="AL562">
        <v>0</v>
      </c>
      <c r="AM562">
        <v>0</v>
      </c>
      <c r="AN562">
        <v>0</v>
      </c>
      <c r="AO562">
        <v>0</v>
      </c>
      <c r="AP562" s="2">
        <v>42831</v>
      </c>
      <c r="AQ562" t="s">
        <v>72</v>
      </c>
      <c r="AR562" t="s">
        <v>72</v>
      </c>
      <c r="AS562">
        <v>309</v>
      </c>
      <c r="AT562" s="4">
        <v>42773</v>
      </c>
      <c r="AU562" t="s">
        <v>73</v>
      </c>
      <c r="AV562">
        <v>309</v>
      </c>
      <c r="AW562" s="4">
        <v>42773</v>
      </c>
      <c r="BD562">
        <v>0</v>
      </c>
      <c r="BN562" t="s">
        <v>74</v>
      </c>
    </row>
    <row r="563" spans="1:66">
      <c r="A563">
        <v>100695</v>
      </c>
      <c r="B563" t="s">
        <v>168</v>
      </c>
      <c r="C563" s="1">
        <v>43300101</v>
      </c>
      <c r="D563" t="s">
        <v>67</v>
      </c>
      <c r="H563" t="str">
        <f t="shared" si="67"/>
        <v>00721920155</v>
      </c>
      <c r="I563" t="str">
        <f t="shared" si="67"/>
        <v>00721920155</v>
      </c>
      <c r="K563" t="str">
        <f>""</f>
        <v/>
      </c>
      <c r="M563" t="s">
        <v>68</v>
      </c>
      <c r="N563" t="str">
        <f t="shared" si="66"/>
        <v>FOR</v>
      </c>
      <c r="O563" t="s">
        <v>69</v>
      </c>
      <c r="P563" t="s">
        <v>75</v>
      </c>
      <c r="Q563">
        <v>2016</v>
      </c>
      <c r="R563" s="4">
        <v>42670</v>
      </c>
      <c r="S563" s="2">
        <v>42676</v>
      </c>
      <c r="T563" s="2">
        <v>42675</v>
      </c>
      <c r="U563" s="4">
        <v>42735</v>
      </c>
      <c r="V563" t="s">
        <v>71</v>
      </c>
      <c r="W563" t="str">
        <f>"          5840128438"</f>
        <v xml:space="preserve">          5840128438</v>
      </c>
      <c r="X563">
        <v>119.6</v>
      </c>
      <c r="Y563">
        <v>0</v>
      </c>
      <c r="Z563" s="5">
        <v>115</v>
      </c>
      <c r="AA563" s="3">
        <v>38</v>
      </c>
      <c r="AB563" s="5">
        <v>4370</v>
      </c>
      <c r="AC563">
        <v>115</v>
      </c>
      <c r="AD563">
        <v>38</v>
      </c>
      <c r="AE563" s="1">
        <v>4370</v>
      </c>
      <c r="AF563">
        <v>0</v>
      </c>
      <c r="AJ563">
        <v>0</v>
      </c>
      <c r="AK563">
        <v>0</v>
      </c>
      <c r="AL563">
        <v>0</v>
      </c>
      <c r="AM563">
        <v>0</v>
      </c>
      <c r="AN563">
        <v>0</v>
      </c>
      <c r="AO563">
        <v>0</v>
      </c>
      <c r="AP563" s="2">
        <v>42831</v>
      </c>
      <c r="AQ563" t="s">
        <v>72</v>
      </c>
      <c r="AR563" t="s">
        <v>72</v>
      </c>
      <c r="AS563">
        <v>309</v>
      </c>
      <c r="AT563" s="4">
        <v>42773</v>
      </c>
      <c r="AU563" t="s">
        <v>73</v>
      </c>
      <c r="AV563">
        <v>309</v>
      </c>
      <c r="AW563" s="4">
        <v>42773</v>
      </c>
      <c r="BD563">
        <v>0</v>
      </c>
      <c r="BN563" t="s">
        <v>74</v>
      </c>
    </row>
    <row r="564" spans="1:66">
      <c r="A564">
        <v>100695</v>
      </c>
      <c r="B564" t="s">
        <v>168</v>
      </c>
      <c r="C564" s="1">
        <v>43300101</v>
      </c>
      <c r="D564" t="s">
        <v>67</v>
      </c>
      <c r="H564" t="str">
        <f t="shared" si="67"/>
        <v>00721920155</v>
      </c>
      <c r="I564" t="str">
        <f t="shared" si="67"/>
        <v>00721920155</v>
      </c>
      <c r="K564" t="str">
        <f>""</f>
        <v/>
      </c>
      <c r="M564" t="s">
        <v>68</v>
      </c>
      <c r="N564" t="str">
        <f t="shared" si="66"/>
        <v>FOR</v>
      </c>
      <c r="O564" t="s">
        <v>69</v>
      </c>
      <c r="P564" t="s">
        <v>75</v>
      </c>
      <c r="Q564">
        <v>2016</v>
      </c>
      <c r="R564" s="4">
        <v>42670</v>
      </c>
      <c r="S564" s="2">
        <v>42676</v>
      </c>
      <c r="T564" s="2">
        <v>42675</v>
      </c>
      <c r="U564" s="4">
        <v>42735</v>
      </c>
      <c r="V564" t="s">
        <v>71</v>
      </c>
      <c r="W564" t="str">
        <f>"          5840128449"</f>
        <v xml:space="preserve">          5840128449</v>
      </c>
      <c r="X564">
        <v>119.6</v>
      </c>
      <c r="Y564">
        <v>0</v>
      </c>
      <c r="Z564" s="5">
        <v>115</v>
      </c>
      <c r="AA564" s="3">
        <v>38</v>
      </c>
      <c r="AB564" s="5">
        <v>4370</v>
      </c>
      <c r="AC564">
        <v>115</v>
      </c>
      <c r="AD564">
        <v>38</v>
      </c>
      <c r="AE564" s="1">
        <v>4370</v>
      </c>
      <c r="AF564">
        <v>0</v>
      </c>
      <c r="AJ564">
        <v>0</v>
      </c>
      <c r="AK564">
        <v>0</v>
      </c>
      <c r="AL564">
        <v>0</v>
      </c>
      <c r="AM564">
        <v>0</v>
      </c>
      <c r="AN564">
        <v>0</v>
      </c>
      <c r="AO564">
        <v>0</v>
      </c>
      <c r="AP564" s="2">
        <v>42831</v>
      </c>
      <c r="AQ564" t="s">
        <v>72</v>
      </c>
      <c r="AR564" t="s">
        <v>72</v>
      </c>
      <c r="AS564">
        <v>309</v>
      </c>
      <c r="AT564" s="4">
        <v>42773</v>
      </c>
      <c r="AU564" t="s">
        <v>73</v>
      </c>
      <c r="AV564">
        <v>309</v>
      </c>
      <c r="AW564" s="4">
        <v>42773</v>
      </c>
      <c r="BD564">
        <v>0</v>
      </c>
      <c r="BN564" t="s">
        <v>74</v>
      </c>
    </row>
    <row r="565" spans="1:66">
      <c r="A565">
        <v>100695</v>
      </c>
      <c r="B565" t="s">
        <v>168</v>
      </c>
      <c r="C565" s="1">
        <v>43300101</v>
      </c>
      <c r="D565" t="s">
        <v>67</v>
      </c>
      <c r="H565" t="str">
        <f t="shared" si="67"/>
        <v>00721920155</v>
      </c>
      <c r="I565" t="str">
        <f t="shared" si="67"/>
        <v>00721920155</v>
      </c>
      <c r="K565" t="str">
        <f>""</f>
        <v/>
      </c>
      <c r="M565" t="s">
        <v>68</v>
      </c>
      <c r="N565" t="str">
        <f t="shared" ref="N565:N596" si="68">"FOR"</f>
        <v>FOR</v>
      </c>
      <c r="O565" t="s">
        <v>69</v>
      </c>
      <c r="P565" t="s">
        <v>75</v>
      </c>
      <c r="Q565">
        <v>2016</v>
      </c>
      <c r="R565" s="4">
        <v>42670</v>
      </c>
      <c r="S565" s="2">
        <v>42676</v>
      </c>
      <c r="T565" s="2">
        <v>42675</v>
      </c>
      <c r="U565" s="4">
        <v>42735</v>
      </c>
      <c r="V565" t="s">
        <v>71</v>
      </c>
      <c r="W565" t="str">
        <f>"          5840128453"</f>
        <v xml:space="preserve">          5840128453</v>
      </c>
      <c r="X565">
        <v>119.6</v>
      </c>
      <c r="Y565">
        <v>0</v>
      </c>
      <c r="Z565" s="5">
        <v>115</v>
      </c>
      <c r="AA565" s="3">
        <v>38</v>
      </c>
      <c r="AB565" s="5">
        <v>4370</v>
      </c>
      <c r="AC565">
        <v>115</v>
      </c>
      <c r="AD565">
        <v>38</v>
      </c>
      <c r="AE565" s="1">
        <v>4370</v>
      </c>
      <c r="AF565">
        <v>0</v>
      </c>
      <c r="AJ565">
        <v>0</v>
      </c>
      <c r="AK565">
        <v>0</v>
      </c>
      <c r="AL565">
        <v>0</v>
      </c>
      <c r="AM565">
        <v>0</v>
      </c>
      <c r="AN565">
        <v>0</v>
      </c>
      <c r="AO565">
        <v>0</v>
      </c>
      <c r="AP565" s="2">
        <v>42831</v>
      </c>
      <c r="AQ565" t="s">
        <v>72</v>
      </c>
      <c r="AR565" t="s">
        <v>72</v>
      </c>
      <c r="AS565">
        <v>309</v>
      </c>
      <c r="AT565" s="4">
        <v>42773</v>
      </c>
      <c r="AU565" t="s">
        <v>73</v>
      </c>
      <c r="AV565">
        <v>309</v>
      </c>
      <c r="AW565" s="4">
        <v>42773</v>
      </c>
      <c r="BD565">
        <v>0</v>
      </c>
      <c r="BN565" t="s">
        <v>74</v>
      </c>
    </row>
    <row r="566" spans="1:66">
      <c r="A566">
        <v>100695</v>
      </c>
      <c r="B566" t="s">
        <v>168</v>
      </c>
      <c r="C566" s="1">
        <v>43300101</v>
      </c>
      <c r="D566" t="s">
        <v>67</v>
      </c>
      <c r="H566" t="str">
        <f t="shared" si="67"/>
        <v>00721920155</v>
      </c>
      <c r="I566" t="str">
        <f t="shared" si="67"/>
        <v>00721920155</v>
      </c>
      <c r="K566" t="str">
        <f>""</f>
        <v/>
      </c>
      <c r="M566" t="s">
        <v>68</v>
      </c>
      <c r="N566" t="str">
        <f t="shared" si="68"/>
        <v>FOR</v>
      </c>
      <c r="O566" t="s">
        <v>69</v>
      </c>
      <c r="P566" t="s">
        <v>75</v>
      </c>
      <c r="Q566">
        <v>2016</v>
      </c>
      <c r="R566" s="4">
        <v>42670</v>
      </c>
      <c r="S566" s="2">
        <v>42676</v>
      </c>
      <c r="T566" s="2">
        <v>42675</v>
      </c>
      <c r="U566" s="4">
        <v>42735</v>
      </c>
      <c r="V566" t="s">
        <v>71</v>
      </c>
      <c r="W566" t="str">
        <f>"          5840128461"</f>
        <v xml:space="preserve">          5840128461</v>
      </c>
      <c r="X566">
        <v>119.6</v>
      </c>
      <c r="Y566">
        <v>0</v>
      </c>
      <c r="Z566" s="5">
        <v>115</v>
      </c>
      <c r="AA566" s="3">
        <v>38</v>
      </c>
      <c r="AB566" s="5">
        <v>4370</v>
      </c>
      <c r="AC566">
        <v>115</v>
      </c>
      <c r="AD566">
        <v>38</v>
      </c>
      <c r="AE566" s="1">
        <v>4370</v>
      </c>
      <c r="AF566">
        <v>0</v>
      </c>
      <c r="AJ566">
        <v>0</v>
      </c>
      <c r="AK566">
        <v>0</v>
      </c>
      <c r="AL566">
        <v>0</v>
      </c>
      <c r="AM566">
        <v>0</v>
      </c>
      <c r="AN566">
        <v>0</v>
      </c>
      <c r="AO566">
        <v>0</v>
      </c>
      <c r="AP566" s="2">
        <v>42831</v>
      </c>
      <c r="AQ566" t="s">
        <v>72</v>
      </c>
      <c r="AR566" t="s">
        <v>72</v>
      </c>
      <c r="AS566">
        <v>309</v>
      </c>
      <c r="AT566" s="4">
        <v>42773</v>
      </c>
      <c r="AU566" t="s">
        <v>73</v>
      </c>
      <c r="AV566">
        <v>309</v>
      </c>
      <c r="AW566" s="4">
        <v>42773</v>
      </c>
      <c r="BD566">
        <v>0</v>
      </c>
      <c r="BN566" t="s">
        <v>74</v>
      </c>
    </row>
    <row r="567" spans="1:66">
      <c r="A567">
        <v>100695</v>
      </c>
      <c r="B567" t="s">
        <v>168</v>
      </c>
      <c r="C567" s="1">
        <v>43300101</v>
      </c>
      <c r="D567" t="s">
        <v>67</v>
      </c>
      <c r="H567" t="str">
        <f t="shared" si="67"/>
        <v>00721920155</v>
      </c>
      <c r="I567" t="str">
        <f t="shared" si="67"/>
        <v>00721920155</v>
      </c>
      <c r="K567" t="str">
        <f>""</f>
        <v/>
      </c>
      <c r="M567" t="s">
        <v>68</v>
      </c>
      <c r="N567" t="str">
        <f t="shared" si="68"/>
        <v>FOR</v>
      </c>
      <c r="O567" t="s">
        <v>69</v>
      </c>
      <c r="P567" t="s">
        <v>75</v>
      </c>
      <c r="Q567">
        <v>2016</v>
      </c>
      <c r="R567" s="4">
        <v>42678</v>
      </c>
      <c r="S567" s="2">
        <v>42690</v>
      </c>
      <c r="T567" s="2">
        <v>42689</v>
      </c>
      <c r="U567" s="4">
        <v>42749</v>
      </c>
      <c r="V567" t="s">
        <v>71</v>
      </c>
      <c r="W567" t="str">
        <f>"          5840128752"</f>
        <v xml:space="preserve">          5840128752</v>
      </c>
      <c r="X567">
        <v>119.6</v>
      </c>
      <c r="Y567">
        <v>0</v>
      </c>
      <c r="Z567" s="5">
        <v>115</v>
      </c>
      <c r="AA567" s="3">
        <v>24</v>
      </c>
      <c r="AB567" s="5">
        <v>2760</v>
      </c>
      <c r="AC567">
        <v>115</v>
      </c>
      <c r="AD567">
        <v>24</v>
      </c>
      <c r="AE567" s="1">
        <v>2760</v>
      </c>
      <c r="AF567">
        <v>0</v>
      </c>
      <c r="AJ567">
        <v>0</v>
      </c>
      <c r="AK567">
        <v>0</v>
      </c>
      <c r="AL567">
        <v>0</v>
      </c>
      <c r="AM567">
        <v>0</v>
      </c>
      <c r="AN567">
        <v>0</v>
      </c>
      <c r="AO567">
        <v>0</v>
      </c>
      <c r="AP567" s="2">
        <v>42831</v>
      </c>
      <c r="AQ567" t="s">
        <v>72</v>
      </c>
      <c r="AR567" t="s">
        <v>72</v>
      </c>
      <c r="AS567">
        <v>309</v>
      </c>
      <c r="AT567" s="4">
        <v>42773</v>
      </c>
      <c r="AU567" t="s">
        <v>73</v>
      </c>
      <c r="AV567">
        <v>309</v>
      </c>
      <c r="AW567" s="4">
        <v>42773</v>
      </c>
      <c r="BD567">
        <v>0</v>
      </c>
      <c r="BN567" t="s">
        <v>74</v>
      </c>
    </row>
    <row r="568" spans="1:66">
      <c r="A568">
        <v>100695</v>
      </c>
      <c r="B568" t="s">
        <v>168</v>
      </c>
      <c r="C568" s="1">
        <v>43300101</v>
      </c>
      <c r="D568" t="s">
        <v>67</v>
      </c>
      <c r="H568" t="str">
        <f t="shared" si="67"/>
        <v>00721920155</v>
      </c>
      <c r="I568" t="str">
        <f t="shared" si="67"/>
        <v>00721920155</v>
      </c>
      <c r="K568" t="str">
        <f>""</f>
        <v/>
      </c>
      <c r="M568" t="s">
        <v>68</v>
      </c>
      <c r="N568" t="str">
        <f t="shared" si="68"/>
        <v>FOR</v>
      </c>
      <c r="O568" t="s">
        <v>69</v>
      </c>
      <c r="P568" t="s">
        <v>75</v>
      </c>
      <c r="Q568">
        <v>2016</v>
      </c>
      <c r="R568" s="4">
        <v>42678</v>
      </c>
      <c r="S568" s="2">
        <v>42690</v>
      </c>
      <c r="T568" s="2">
        <v>42689</v>
      </c>
      <c r="U568" s="4">
        <v>42749</v>
      </c>
      <c r="V568" t="s">
        <v>71</v>
      </c>
      <c r="W568" t="str">
        <f>"          5840128762"</f>
        <v xml:space="preserve">          5840128762</v>
      </c>
      <c r="X568">
        <v>119.6</v>
      </c>
      <c r="Y568">
        <v>0</v>
      </c>
      <c r="Z568" s="5">
        <v>115</v>
      </c>
      <c r="AA568" s="3">
        <v>24</v>
      </c>
      <c r="AB568" s="5">
        <v>2760</v>
      </c>
      <c r="AC568">
        <v>115</v>
      </c>
      <c r="AD568">
        <v>24</v>
      </c>
      <c r="AE568" s="1">
        <v>2760</v>
      </c>
      <c r="AF568">
        <v>0</v>
      </c>
      <c r="AJ568">
        <v>0</v>
      </c>
      <c r="AK568">
        <v>0</v>
      </c>
      <c r="AL568">
        <v>0</v>
      </c>
      <c r="AM568">
        <v>0</v>
      </c>
      <c r="AN568">
        <v>0</v>
      </c>
      <c r="AO568">
        <v>0</v>
      </c>
      <c r="AP568" s="2">
        <v>42831</v>
      </c>
      <c r="AQ568" t="s">
        <v>72</v>
      </c>
      <c r="AR568" t="s">
        <v>72</v>
      </c>
      <c r="AS568">
        <v>309</v>
      </c>
      <c r="AT568" s="4">
        <v>42773</v>
      </c>
      <c r="AU568" t="s">
        <v>73</v>
      </c>
      <c r="AV568">
        <v>309</v>
      </c>
      <c r="AW568" s="4">
        <v>42773</v>
      </c>
      <c r="BD568">
        <v>0</v>
      </c>
      <c r="BN568" t="s">
        <v>74</v>
      </c>
    </row>
    <row r="569" spans="1:66">
      <c r="A569">
        <v>100695</v>
      </c>
      <c r="B569" t="s">
        <v>168</v>
      </c>
      <c r="C569" s="1">
        <v>43300101</v>
      </c>
      <c r="D569" t="s">
        <v>67</v>
      </c>
      <c r="H569" t="str">
        <f t="shared" ref="H569:I591" si="69">"00721920155"</f>
        <v>00721920155</v>
      </c>
      <c r="I569" t="str">
        <f t="shared" si="69"/>
        <v>00721920155</v>
      </c>
      <c r="K569" t="str">
        <f>""</f>
        <v/>
      </c>
      <c r="M569" t="s">
        <v>68</v>
      </c>
      <c r="N569" t="str">
        <f t="shared" si="68"/>
        <v>FOR</v>
      </c>
      <c r="O569" t="s">
        <v>69</v>
      </c>
      <c r="P569" t="s">
        <v>75</v>
      </c>
      <c r="Q569">
        <v>2016</v>
      </c>
      <c r="R569" s="4">
        <v>42702</v>
      </c>
      <c r="S569" s="2">
        <v>42711</v>
      </c>
      <c r="T569" s="2">
        <v>42706</v>
      </c>
      <c r="U569" s="4">
        <v>42766</v>
      </c>
      <c r="V569" t="s">
        <v>71</v>
      </c>
      <c r="W569" t="str">
        <f>"          5840129786"</f>
        <v xml:space="preserve">          5840129786</v>
      </c>
      <c r="X569">
        <v>119.6</v>
      </c>
      <c r="Y569">
        <v>0</v>
      </c>
      <c r="Z569" s="5">
        <v>115</v>
      </c>
      <c r="AA569" s="3">
        <v>7</v>
      </c>
      <c r="AB569" s="3">
        <v>805</v>
      </c>
      <c r="AC569">
        <v>115</v>
      </c>
      <c r="AD569">
        <v>7</v>
      </c>
      <c r="AE569">
        <v>805</v>
      </c>
      <c r="AF569">
        <v>0</v>
      </c>
      <c r="AJ569">
        <v>0</v>
      </c>
      <c r="AK569">
        <v>0</v>
      </c>
      <c r="AL569">
        <v>0</v>
      </c>
      <c r="AM569">
        <v>0</v>
      </c>
      <c r="AN569">
        <v>0</v>
      </c>
      <c r="AO569">
        <v>0</v>
      </c>
      <c r="AP569" s="2">
        <v>42831</v>
      </c>
      <c r="AQ569" t="s">
        <v>72</v>
      </c>
      <c r="AR569" t="s">
        <v>72</v>
      </c>
      <c r="AS569">
        <v>309</v>
      </c>
      <c r="AT569" s="4">
        <v>42773</v>
      </c>
      <c r="AU569" t="s">
        <v>73</v>
      </c>
      <c r="AV569">
        <v>309</v>
      </c>
      <c r="AW569" s="4">
        <v>42773</v>
      </c>
      <c r="BD569">
        <v>0</v>
      </c>
      <c r="BN569" t="s">
        <v>74</v>
      </c>
    </row>
    <row r="570" spans="1:66">
      <c r="A570">
        <v>100695</v>
      </c>
      <c r="B570" t="s">
        <v>168</v>
      </c>
      <c r="C570" s="1">
        <v>43300101</v>
      </c>
      <c r="D570" t="s">
        <v>67</v>
      </c>
      <c r="H570" t="str">
        <f t="shared" si="69"/>
        <v>00721920155</v>
      </c>
      <c r="I570" t="str">
        <f t="shared" si="69"/>
        <v>00721920155</v>
      </c>
      <c r="K570" t="str">
        <f>""</f>
        <v/>
      </c>
      <c r="M570" t="s">
        <v>68</v>
      </c>
      <c r="N570" t="str">
        <f t="shared" si="68"/>
        <v>FOR</v>
      </c>
      <c r="O570" t="s">
        <v>69</v>
      </c>
      <c r="P570" t="s">
        <v>75</v>
      </c>
      <c r="Q570">
        <v>2016</v>
      </c>
      <c r="R570" s="4">
        <v>42702</v>
      </c>
      <c r="S570" s="2">
        <v>42711</v>
      </c>
      <c r="T570" s="2">
        <v>42706</v>
      </c>
      <c r="U570" s="4">
        <v>42766</v>
      </c>
      <c r="V570" t="s">
        <v>71</v>
      </c>
      <c r="W570" t="str">
        <f>"          5840129793"</f>
        <v xml:space="preserve">          5840129793</v>
      </c>
      <c r="X570">
        <v>119.6</v>
      </c>
      <c r="Y570">
        <v>0</v>
      </c>
      <c r="Z570" s="5">
        <v>115</v>
      </c>
      <c r="AA570" s="3">
        <v>7</v>
      </c>
      <c r="AB570" s="3">
        <v>805</v>
      </c>
      <c r="AC570">
        <v>115</v>
      </c>
      <c r="AD570">
        <v>7</v>
      </c>
      <c r="AE570">
        <v>805</v>
      </c>
      <c r="AF570">
        <v>0</v>
      </c>
      <c r="AJ570">
        <v>0</v>
      </c>
      <c r="AK570">
        <v>0</v>
      </c>
      <c r="AL570">
        <v>0</v>
      </c>
      <c r="AM570">
        <v>0</v>
      </c>
      <c r="AN570">
        <v>0</v>
      </c>
      <c r="AO570">
        <v>0</v>
      </c>
      <c r="AP570" s="2">
        <v>42831</v>
      </c>
      <c r="AQ570" t="s">
        <v>72</v>
      </c>
      <c r="AR570" t="s">
        <v>72</v>
      </c>
      <c r="AS570">
        <v>309</v>
      </c>
      <c r="AT570" s="4">
        <v>42773</v>
      </c>
      <c r="AU570" t="s">
        <v>73</v>
      </c>
      <c r="AV570">
        <v>309</v>
      </c>
      <c r="AW570" s="4">
        <v>42773</v>
      </c>
      <c r="BD570">
        <v>0</v>
      </c>
      <c r="BN570" t="s">
        <v>74</v>
      </c>
    </row>
    <row r="571" spans="1:66">
      <c r="A571">
        <v>100695</v>
      </c>
      <c r="B571" t="s">
        <v>168</v>
      </c>
      <c r="C571" s="1">
        <v>43300101</v>
      </c>
      <c r="D571" t="s">
        <v>67</v>
      </c>
      <c r="H571" t="str">
        <f t="shared" si="69"/>
        <v>00721920155</v>
      </c>
      <c r="I571" t="str">
        <f t="shared" si="69"/>
        <v>00721920155</v>
      </c>
      <c r="K571" t="str">
        <f>""</f>
        <v/>
      </c>
      <c r="M571" t="s">
        <v>68</v>
      </c>
      <c r="N571" t="str">
        <f t="shared" si="68"/>
        <v>FOR</v>
      </c>
      <c r="O571" t="s">
        <v>69</v>
      </c>
      <c r="P571" t="s">
        <v>75</v>
      </c>
      <c r="Q571">
        <v>2016</v>
      </c>
      <c r="R571" s="4">
        <v>42702</v>
      </c>
      <c r="S571" s="2">
        <v>42711</v>
      </c>
      <c r="T571" s="2">
        <v>42706</v>
      </c>
      <c r="U571" s="4">
        <v>42766</v>
      </c>
      <c r="V571" t="s">
        <v>71</v>
      </c>
      <c r="W571" t="str">
        <f>"          5840129803"</f>
        <v xml:space="preserve">          5840129803</v>
      </c>
      <c r="X571">
        <v>119.6</v>
      </c>
      <c r="Y571">
        <v>0</v>
      </c>
      <c r="Z571" s="5">
        <v>115</v>
      </c>
      <c r="AA571" s="3">
        <v>7</v>
      </c>
      <c r="AB571" s="3">
        <v>805</v>
      </c>
      <c r="AC571">
        <v>115</v>
      </c>
      <c r="AD571">
        <v>7</v>
      </c>
      <c r="AE571">
        <v>805</v>
      </c>
      <c r="AF571">
        <v>0</v>
      </c>
      <c r="AJ571">
        <v>0</v>
      </c>
      <c r="AK571">
        <v>0</v>
      </c>
      <c r="AL571">
        <v>0</v>
      </c>
      <c r="AM571">
        <v>0</v>
      </c>
      <c r="AN571">
        <v>0</v>
      </c>
      <c r="AO571">
        <v>0</v>
      </c>
      <c r="AP571" s="2">
        <v>42831</v>
      </c>
      <c r="AQ571" t="s">
        <v>72</v>
      </c>
      <c r="AR571" t="s">
        <v>72</v>
      </c>
      <c r="AS571">
        <v>309</v>
      </c>
      <c r="AT571" s="4">
        <v>42773</v>
      </c>
      <c r="AU571" t="s">
        <v>73</v>
      </c>
      <c r="AV571">
        <v>309</v>
      </c>
      <c r="AW571" s="4">
        <v>42773</v>
      </c>
      <c r="BD571">
        <v>0</v>
      </c>
      <c r="BN571" t="s">
        <v>74</v>
      </c>
    </row>
    <row r="572" spans="1:66">
      <c r="A572">
        <v>100695</v>
      </c>
      <c r="B572" t="s">
        <v>168</v>
      </c>
      <c r="C572" s="1">
        <v>43300101</v>
      </c>
      <c r="D572" t="s">
        <v>67</v>
      </c>
      <c r="H572" t="str">
        <f t="shared" si="69"/>
        <v>00721920155</v>
      </c>
      <c r="I572" t="str">
        <f t="shared" si="69"/>
        <v>00721920155</v>
      </c>
      <c r="K572" t="str">
        <f>""</f>
        <v/>
      </c>
      <c r="M572" t="s">
        <v>68</v>
      </c>
      <c r="N572" t="str">
        <f t="shared" si="68"/>
        <v>FOR</v>
      </c>
      <c r="O572" t="s">
        <v>69</v>
      </c>
      <c r="P572" t="s">
        <v>75</v>
      </c>
      <c r="Q572">
        <v>2016</v>
      </c>
      <c r="R572" s="4">
        <v>42702</v>
      </c>
      <c r="S572" s="2">
        <v>42711</v>
      </c>
      <c r="T572" s="2">
        <v>42706</v>
      </c>
      <c r="U572" s="4">
        <v>42766</v>
      </c>
      <c r="V572" t="s">
        <v>71</v>
      </c>
      <c r="W572" t="str">
        <f>"          5840129809"</f>
        <v xml:space="preserve">          5840129809</v>
      </c>
      <c r="X572">
        <v>119.6</v>
      </c>
      <c r="Y572">
        <v>0</v>
      </c>
      <c r="Z572" s="5">
        <v>115</v>
      </c>
      <c r="AA572" s="3">
        <v>7</v>
      </c>
      <c r="AB572" s="3">
        <v>805</v>
      </c>
      <c r="AC572">
        <v>115</v>
      </c>
      <c r="AD572">
        <v>7</v>
      </c>
      <c r="AE572">
        <v>805</v>
      </c>
      <c r="AF572">
        <v>0</v>
      </c>
      <c r="AJ572">
        <v>0</v>
      </c>
      <c r="AK572">
        <v>0</v>
      </c>
      <c r="AL572">
        <v>0</v>
      </c>
      <c r="AM572">
        <v>0</v>
      </c>
      <c r="AN572">
        <v>0</v>
      </c>
      <c r="AO572">
        <v>0</v>
      </c>
      <c r="AP572" s="2">
        <v>42831</v>
      </c>
      <c r="AQ572" t="s">
        <v>72</v>
      </c>
      <c r="AR572" t="s">
        <v>72</v>
      </c>
      <c r="AS572">
        <v>309</v>
      </c>
      <c r="AT572" s="4">
        <v>42773</v>
      </c>
      <c r="AU572" t="s">
        <v>73</v>
      </c>
      <c r="AV572">
        <v>309</v>
      </c>
      <c r="AW572" s="4">
        <v>42773</v>
      </c>
      <c r="BD572">
        <v>0</v>
      </c>
      <c r="BN572" t="s">
        <v>74</v>
      </c>
    </row>
    <row r="573" spans="1:66">
      <c r="A573">
        <v>100695</v>
      </c>
      <c r="B573" t="s">
        <v>168</v>
      </c>
      <c r="C573" s="1">
        <v>43300101</v>
      </c>
      <c r="D573" t="s">
        <v>67</v>
      </c>
      <c r="H573" t="str">
        <f t="shared" si="69"/>
        <v>00721920155</v>
      </c>
      <c r="I573" t="str">
        <f t="shared" si="69"/>
        <v>00721920155</v>
      </c>
      <c r="K573" t="str">
        <f>""</f>
        <v/>
      </c>
      <c r="M573" t="s">
        <v>68</v>
      </c>
      <c r="N573" t="str">
        <f t="shared" si="68"/>
        <v>FOR</v>
      </c>
      <c r="O573" t="s">
        <v>69</v>
      </c>
      <c r="P573" t="s">
        <v>75</v>
      </c>
      <c r="Q573">
        <v>2016</v>
      </c>
      <c r="R573" s="4">
        <v>42702</v>
      </c>
      <c r="S573" s="2">
        <v>42711</v>
      </c>
      <c r="T573" s="2">
        <v>42706</v>
      </c>
      <c r="U573" s="4">
        <v>42766</v>
      </c>
      <c r="V573" t="s">
        <v>71</v>
      </c>
      <c r="W573" t="str">
        <f>"          5840129820"</f>
        <v xml:space="preserve">          5840129820</v>
      </c>
      <c r="X573">
        <v>119.6</v>
      </c>
      <c r="Y573">
        <v>0</v>
      </c>
      <c r="Z573" s="5">
        <v>115</v>
      </c>
      <c r="AA573" s="3">
        <v>7</v>
      </c>
      <c r="AB573" s="3">
        <v>805</v>
      </c>
      <c r="AC573">
        <v>115</v>
      </c>
      <c r="AD573">
        <v>7</v>
      </c>
      <c r="AE573">
        <v>805</v>
      </c>
      <c r="AF573">
        <v>0</v>
      </c>
      <c r="AJ573">
        <v>0</v>
      </c>
      <c r="AK573">
        <v>0</v>
      </c>
      <c r="AL573">
        <v>0</v>
      </c>
      <c r="AM573">
        <v>0</v>
      </c>
      <c r="AN573">
        <v>0</v>
      </c>
      <c r="AO573">
        <v>0</v>
      </c>
      <c r="AP573" s="2">
        <v>42831</v>
      </c>
      <c r="AQ573" t="s">
        <v>72</v>
      </c>
      <c r="AR573" t="s">
        <v>72</v>
      </c>
      <c r="AS573">
        <v>309</v>
      </c>
      <c r="AT573" s="4">
        <v>42773</v>
      </c>
      <c r="AU573" t="s">
        <v>73</v>
      </c>
      <c r="AV573">
        <v>309</v>
      </c>
      <c r="AW573" s="4">
        <v>42773</v>
      </c>
      <c r="BD573">
        <v>0</v>
      </c>
      <c r="BN573" t="s">
        <v>74</v>
      </c>
    </row>
    <row r="574" spans="1:66">
      <c r="A574">
        <v>100695</v>
      </c>
      <c r="B574" t="s">
        <v>168</v>
      </c>
      <c r="C574" s="1">
        <v>43300101</v>
      </c>
      <c r="D574" t="s">
        <v>67</v>
      </c>
      <c r="H574" t="str">
        <f t="shared" si="69"/>
        <v>00721920155</v>
      </c>
      <c r="I574" t="str">
        <f t="shared" si="69"/>
        <v>00721920155</v>
      </c>
      <c r="K574" t="str">
        <f>""</f>
        <v/>
      </c>
      <c r="M574" t="s">
        <v>68</v>
      </c>
      <c r="N574" t="str">
        <f t="shared" si="68"/>
        <v>FOR</v>
      </c>
      <c r="O574" t="s">
        <v>69</v>
      </c>
      <c r="P574" t="s">
        <v>75</v>
      </c>
      <c r="Q574">
        <v>2016</v>
      </c>
      <c r="R574" s="4">
        <v>42702</v>
      </c>
      <c r="S574" s="2">
        <v>42711</v>
      </c>
      <c r="T574" s="2">
        <v>42706</v>
      </c>
      <c r="U574" s="4">
        <v>42766</v>
      </c>
      <c r="V574" t="s">
        <v>71</v>
      </c>
      <c r="W574" t="str">
        <f>"          5840129830"</f>
        <v xml:space="preserve">          5840129830</v>
      </c>
      <c r="X574">
        <v>119.6</v>
      </c>
      <c r="Y574">
        <v>0</v>
      </c>
      <c r="Z574" s="5">
        <v>115</v>
      </c>
      <c r="AA574" s="3">
        <v>7</v>
      </c>
      <c r="AB574" s="3">
        <v>805</v>
      </c>
      <c r="AC574">
        <v>115</v>
      </c>
      <c r="AD574">
        <v>7</v>
      </c>
      <c r="AE574">
        <v>805</v>
      </c>
      <c r="AF574">
        <v>0</v>
      </c>
      <c r="AJ574">
        <v>0</v>
      </c>
      <c r="AK574">
        <v>0</v>
      </c>
      <c r="AL574">
        <v>0</v>
      </c>
      <c r="AM574">
        <v>0</v>
      </c>
      <c r="AN574">
        <v>0</v>
      </c>
      <c r="AO574">
        <v>0</v>
      </c>
      <c r="AP574" s="2">
        <v>42831</v>
      </c>
      <c r="AQ574" t="s">
        <v>72</v>
      </c>
      <c r="AR574" t="s">
        <v>72</v>
      </c>
      <c r="AS574">
        <v>309</v>
      </c>
      <c r="AT574" s="4">
        <v>42773</v>
      </c>
      <c r="AU574" t="s">
        <v>73</v>
      </c>
      <c r="AV574">
        <v>309</v>
      </c>
      <c r="AW574" s="4">
        <v>42773</v>
      </c>
      <c r="BD574">
        <v>0</v>
      </c>
      <c r="BN574" t="s">
        <v>74</v>
      </c>
    </row>
    <row r="575" spans="1:66">
      <c r="A575">
        <v>100695</v>
      </c>
      <c r="B575" t="s">
        <v>168</v>
      </c>
      <c r="C575" s="1">
        <v>43300101</v>
      </c>
      <c r="D575" t="s">
        <v>67</v>
      </c>
      <c r="H575" t="str">
        <f t="shared" si="69"/>
        <v>00721920155</v>
      </c>
      <c r="I575" t="str">
        <f t="shared" si="69"/>
        <v>00721920155</v>
      </c>
      <c r="K575" t="str">
        <f>""</f>
        <v/>
      </c>
      <c r="M575" t="s">
        <v>68</v>
      </c>
      <c r="N575" t="str">
        <f t="shared" si="68"/>
        <v>FOR</v>
      </c>
      <c r="O575" t="s">
        <v>69</v>
      </c>
      <c r="P575" t="s">
        <v>75</v>
      </c>
      <c r="Q575">
        <v>2016</v>
      </c>
      <c r="R575" s="4">
        <v>42702</v>
      </c>
      <c r="S575" s="2">
        <v>42711</v>
      </c>
      <c r="T575" s="2">
        <v>42706</v>
      </c>
      <c r="U575" s="4">
        <v>42766</v>
      </c>
      <c r="V575" t="s">
        <v>71</v>
      </c>
      <c r="W575" t="str">
        <f>"          5840129831"</f>
        <v xml:space="preserve">          5840129831</v>
      </c>
      <c r="X575">
        <v>119.6</v>
      </c>
      <c r="Y575">
        <v>0</v>
      </c>
      <c r="Z575" s="5">
        <v>115</v>
      </c>
      <c r="AA575" s="3">
        <v>7</v>
      </c>
      <c r="AB575" s="3">
        <v>805</v>
      </c>
      <c r="AC575">
        <v>115</v>
      </c>
      <c r="AD575">
        <v>7</v>
      </c>
      <c r="AE575">
        <v>805</v>
      </c>
      <c r="AF575">
        <v>0</v>
      </c>
      <c r="AJ575">
        <v>0</v>
      </c>
      <c r="AK575">
        <v>0</v>
      </c>
      <c r="AL575">
        <v>0</v>
      </c>
      <c r="AM575">
        <v>0</v>
      </c>
      <c r="AN575">
        <v>0</v>
      </c>
      <c r="AO575">
        <v>0</v>
      </c>
      <c r="AP575" s="2">
        <v>42831</v>
      </c>
      <c r="AQ575" t="s">
        <v>72</v>
      </c>
      <c r="AR575" t="s">
        <v>72</v>
      </c>
      <c r="AS575">
        <v>309</v>
      </c>
      <c r="AT575" s="4">
        <v>42773</v>
      </c>
      <c r="AU575" t="s">
        <v>73</v>
      </c>
      <c r="AV575">
        <v>309</v>
      </c>
      <c r="AW575" s="4">
        <v>42773</v>
      </c>
      <c r="BD575">
        <v>0</v>
      </c>
      <c r="BN575" t="s">
        <v>74</v>
      </c>
    </row>
    <row r="576" spans="1:66">
      <c r="A576">
        <v>100695</v>
      </c>
      <c r="B576" t="s">
        <v>168</v>
      </c>
      <c r="C576" s="1">
        <v>43300101</v>
      </c>
      <c r="D576" t="s">
        <v>67</v>
      </c>
      <c r="H576" t="str">
        <f t="shared" si="69"/>
        <v>00721920155</v>
      </c>
      <c r="I576" t="str">
        <f t="shared" si="69"/>
        <v>00721920155</v>
      </c>
      <c r="K576" t="str">
        <f>""</f>
        <v/>
      </c>
      <c r="M576" t="s">
        <v>68</v>
      </c>
      <c r="N576" t="str">
        <f t="shared" si="68"/>
        <v>FOR</v>
      </c>
      <c r="O576" t="s">
        <v>69</v>
      </c>
      <c r="P576" t="s">
        <v>75</v>
      </c>
      <c r="Q576">
        <v>2016</v>
      </c>
      <c r="R576" s="4">
        <v>42703</v>
      </c>
      <c r="S576" s="2">
        <v>42711</v>
      </c>
      <c r="T576" s="2">
        <v>42706</v>
      </c>
      <c r="U576" s="4">
        <v>42766</v>
      </c>
      <c r="V576" t="s">
        <v>71</v>
      </c>
      <c r="W576" t="str">
        <f>"          5840129847"</f>
        <v xml:space="preserve">          5840129847</v>
      </c>
      <c r="X576">
        <v>119.6</v>
      </c>
      <c r="Y576">
        <v>0</v>
      </c>
      <c r="Z576" s="5">
        <v>115</v>
      </c>
      <c r="AA576" s="3">
        <v>7</v>
      </c>
      <c r="AB576" s="3">
        <v>805</v>
      </c>
      <c r="AC576">
        <v>115</v>
      </c>
      <c r="AD576">
        <v>7</v>
      </c>
      <c r="AE576">
        <v>805</v>
      </c>
      <c r="AF576">
        <v>0</v>
      </c>
      <c r="AJ576">
        <v>0</v>
      </c>
      <c r="AK576">
        <v>0</v>
      </c>
      <c r="AL576">
        <v>0</v>
      </c>
      <c r="AM576">
        <v>0</v>
      </c>
      <c r="AN576">
        <v>0</v>
      </c>
      <c r="AO576">
        <v>0</v>
      </c>
      <c r="AP576" s="2">
        <v>42831</v>
      </c>
      <c r="AQ576" t="s">
        <v>72</v>
      </c>
      <c r="AR576" t="s">
        <v>72</v>
      </c>
      <c r="AS576">
        <v>309</v>
      </c>
      <c r="AT576" s="4">
        <v>42773</v>
      </c>
      <c r="AU576" t="s">
        <v>73</v>
      </c>
      <c r="AV576">
        <v>309</v>
      </c>
      <c r="AW576" s="4">
        <v>42773</v>
      </c>
      <c r="BD576">
        <v>0</v>
      </c>
      <c r="BN576" t="s">
        <v>74</v>
      </c>
    </row>
    <row r="577" spans="1:66">
      <c r="A577">
        <v>100695</v>
      </c>
      <c r="B577" t="s">
        <v>168</v>
      </c>
      <c r="C577" s="1">
        <v>43300101</v>
      </c>
      <c r="D577" t="s">
        <v>67</v>
      </c>
      <c r="H577" t="str">
        <f t="shared" si="69"/>
        <v>00721920155</v>
      </c>
      <c r="I577" t="str">
        <f t="shared" si="69"/>
        <v>00721920155</v>
      </c>
      <c r="K577" t="str">
        <f>""</f>
        <v/>
      </c>
      <c r="M577" t="s">
        <v>68</v>
      </c>
      <c r="N577" t="str">
        <f t="shared" si="68"/>
        <v>FOR</v>
      </c>
      <c r="O577" t="s">
        <v>69</v>
      </c>
      <c r="P577" t="s">
        <v>75</v>
      </c>
      <c r="Q577">
        <v>2016</v>
      </c>
      <c r="R577" s="4">
        <v>42703</v>
      </c>
      <c r="S577" s="2">
        <v>42711</v>
      </c>
      <c r="T577" s="2">
        <v>42706</v>
      </c>
      <c r="U577" s="4">
        <v>42766</v>
      </c>
      <c r="V577" t="s">
        <v>71</v>
      </c>
      <c r="W577" t="str">
        <f>"          5840129896"</f>
        <v xml:space="preserve">          5840129896</v>
      </c>
      <c r="X577">
        <v>119.6</v>
      </c>
      <c r="Y577">
        <v>0</v>
      </c>
      <c r="Z577" s="5">
        <v>115</v>
      </c>
      <c r="AA577" s="3">
        <v>7</v>
      </c>
      <c r="AB577" s="3">
        <v>805</v>
      </c>
      <c r="AC577">
        <v>115</v>
      </c>
      <c r="AD577">
        <v>7</v>
      </c>
      <c r="AE577">
        <v>805</v>
      </c>
      <c r="AF577">
        <v>0</v>
      </c>
      <c r="AJ577">
        <v>0</v>
      </c>
      <c r="AK577">
        <v>0</v>
      </c>
      <c r="AL577">
        <v>0</v>
      </c>
      <c r="AM577">
        <v>0</v>
      </c>
      <c r="AN577">
        <v>0</v>
      </c>
      <c r="AO577">
        <v>0</v>
      </c>
      <c r="AP577" s="2">
        <v>42831</v>
      </c>
      <c r="AQ577" t="s">
        <v>72</v>
      </c>
      <c r="AR577" t="s">
        <v>72</v>
      </c>
      <c r="AS577">
        <v>309</v>
      </c>
      <c r="AT577" s="4">
        <v>42773</v>
      </c>
      <c r="AU577" t="s">
        <v>73</v>
      </c>
      <c r="AV577">
        <v>309</v>
      </c>
      <c r="AW577" s="4">
        <v>42773</v>
      </c>
      <c r="BD577">
        <v>0</v>
      </c>
      <c r="BN577" t="s">
        <v>74</v>
      </c>
    </row>
    <row r="578" spans="1:66">
      <c r="A578">
        <v>100695</v>
      </c>
      <c r="B578" t="s">
        <v>168</v>
      </c>
      <c r="C578" s="1">
        <v>43300101</v>
      </c>
      <c r="D578" t="s">
        <v>67</v>
      </c>
      <c r="H578" t="str">
        <f t="shared" si="69"/>
        <v>00721920155</v>
      </c>
      <c r="I578" t="str">
        <f t="shared" si="69"/>
        <v>00721920155</v>
      </c>
      <c r="K578" t="str">
        <f>""</f>
        <v/>
      </c>
      <c r="M578" t="s">
        <v>68</v>
      </c>
      <c r="N578" t="str">
        <f t="shared" si="68"/>
        <v>FOR</v>
      </c>
      <c r="O578" t="s">
        <v>69</v>
      </c>
      <c r="P578" t="s">
        <v>75</v>
      </c>
      <c r="Q578">
        <v>2016</v>
      </c>
      <c r="R578" s="4">
        <v>42703</v>
      </c>
      <c r="S578" s="2">
        <v>42711</v>
      </c>
      <c r="T578" s="2">
        <v>42706</v>
      </c>
      <c r="U578" s="4">
        <v>42766</v>
      </c>
      <c r="V578" t="s">
        <v>71</v>
      </c>
      <c r="W578" t="str">
        <f>"          5840129908"</f>
        <v xml:space="preserve">          5840129908</v>
      </c>
      <c r="X578">
        <v>119.6</v>
      </c>
      <c r="Y578">
        <v>0</v>
      </c>
      <c r="Z578" s="5">
        <v>115</v>
      </c>
      <c r="AA578" s="3">
        <v>7</v>
      </c>
      <c r="AB578" s="3">
        <v>805</v>
      </c>
      <c r="AC578">
        <v>115</v>
      </c>
      <c r="AD578">
        <v>7</v>
      </c>
      <c r="AE578">
        <v>805</v>
      </c>
      <c r="AF578">
        <v>0</v>
      </c>
      <c r="AJ578">
        <v>0</v>
      </c>
      <c r="AK578">
        <v>0</v>
      </c>
      <c r="AL578">
        <v>0</v>
      </c>
      <c r="AM578">
        <v>0</v>
      </c>
      <c r="AN578">
        <v>0</v>
      </c>
      <c r="AO578">
        <v>0</v>
      </c>
      <c r="AP578" s="2">
        <v>42831</v>
      </c>
      <c r="AQ578" t="s">
        <v>72</v>
      </c>
      <c r="AR578" t="s">
        <v>72</v>
      </c>
      <c r="AS578">
        <v>309</v>
      </c>
      <c r="AT578" s="4">
        <v>42773</v>
      </c>
      <c r="AU578" t="s">
        <v>73</v>
      </c>
      <c r="AV578">
        <v>309</v>
      </c>
      <c r="AW578" s="4">
        <v>42773</v>
      </c>
      <c r="BD578">
        <v>0</v>
      </c>
      <c r="BN578" t="s">
        <v>74</v>
      </c>
    </row>
    <row r="579" spans="1:66">
      <c r="A579">
        <v>100695</v>
      </c>
      <c r="B579" t="s">
        <v>168</v>
      </c>
      <c r="C579" s="1">
        <v>43300101</v>
      </c>
      <c r="D579" t="s">
        <v>67</v>
      </c>
      <c r="H579" t="str">
        <f t="shared" si="69"/>
        <v>00721920155</v>
      </c>
      <c r="I579" t="str">
        <f t="shared" si="69"/>
        <v>00721920155</v>
      </c>
      <c r="K579" t="str">
        <f>""</f>
        <v/>
      </c>
      <c r="M579" t="s">
        <v>68</v>
      </c>
      <c r="N579" t="str">
        <f t="shared" si="68"/>
        <v>FOR</v>
      </c>
      <c r="O579" t="s">
        <v>69</v>
      </c>
      <c r="P579" t="s">
        <v>75</v>
      </c>
      <c r="Q579">
        <v>2016</v>
      </c>
      <c r="R579" s="4">
        <v>42703</v>
      </c>
      <c r="S579" s="2">
        <v>42711</v>
      </c>
      <c r="T579" s="2">
        <v>42706</v>
      </c>
      <c r="U579" s="4">
        <v>42766</v>
      </c>
      <c r="V579" t="s">
        <v>71</v>
      </c>
      <c r="W579" t="str">
        <f>"          5840129925"</f>
        <v xml:space="preserve">          5840129925</v>
      </c>
      <c r="X579">
        <v>119.6</v>
      </c>
      <c r="Y579">
        <v>0</v>
      </c>
      <c r="Z579" s="5">
        <v>115</v>
      </c>
      <c r="AA579" s="3">
        <v>7</v>
      </c>
      <c r="AB579" s="3">
        <v>805</v>
      </c>
      <c r="AC579">
        <v>115</v>
      </c>
      <c r="AD579">
        <v>7</v>
      </c>
      <c r="AE579">
        <v>805</v>
      </c>
      <c r="AF579">
        <v>0</v>
      </c>
      <c r="AJ579">
        <v>0</v>
      </c>
      <c r="AK579">
        <v>0</v>
      </c>
      <c r="AL579">
        <v>0</v>
      </c>
      <c r="AM579">
        <v>0</v>
      </c>
      <c r="AN579">
        <v>0</v>
      </c>
      <c r="AO579">
        <v>0</v>
      </c>
      <c r="AP579" s="2">
        <v>42831</v>
      </c>
      <c r="AQ579" t="s">
        <v>72</v>
      </c>
      <c r="AR579" t="s">
        <v>72</v>
      </c>
      <c r="AS579">
        <v>309</v>
      </c>
      <c r="AT579" s="4">
        <v>42773</v>
      </c>
      <c r="AU579" t="s">
        <v>73</v>
      </c>
      <c r="AV579">
        <v>309</v>
      </c>
      <c r="AW579" s="4">
        <v>42773</v>
      </c>
      <c r="BD579">
        <v>0</v>
      </c>
      <c r="BN579" t="s">
        <v>74</v>
      </c>
    </row>
    <row r="580" spans="1:66">
      <c r="A580">
        <v>100695</v>
      </c>
      <c r="B580" t="s">
        <v>168</v>
      </c>
      <c r="C580" s="1">
        <v>43300101</v>
      </c>
      <c r="D580" t="s">
        <v>67</v>
      </c>
      <c r="H580" t="str">
        <f t="shared" si="69"/>
        <v>00721920155</v>
      </c>
      <c r="I580" t="str">
        <f t="shared" si="69"/>
        <v>00721920155</v>
      </c>
      <c r="K580" t="str">
        <f>""</f>
        <v/>
      </c>
      <c r="M580" t="s">
        <v>68</v>
      </c>
      <c r="N580" t="str">
        <f t="shared" si="68"/>
        <v>FOR</v>
      </c>
      <c r="O580" t="s">
        <v>69</v>
      </c>
      <c r="P580" t="s">
        <v>75</v>
      </c>
      <c r="Q580">
        <v>2016</v>
      </c>
      <c r="R580" s="4">
        <v>42703</v>
      </c>
      <c r="S580" s="2">
        <v>42711</v>
      </c>
      <c r="T580" s="2">
        <v>42706</v>
      </c>
      <c r="U580" s="4">
        <v>42766</v>
      </c>
      <c r="V580" t="s">
        <v>71</v>
      </c>
      <c r="W580" t="str">
        <f>"          5840129947"</f>
        <v xml:space="preserve">          5840129947</v>
      </c>
      <c r="X580">
        <v>119.6</v>
      </c>
      <c r="Y580">
        <v>0</v>
      </c>
      <c r="Z580" s="5">
        <v>115</v>
      </c>
      <c r="AA580" s="3">
        <v>7</v>
      </c>
      <c r="AB580" s="3">
        <v>805</v>
      </c>
      <c r="AC580">
        <v>115</v>
      </c>
      <c r="AD580">
        <v>7</v>
      </c>
      <c r="AE580">
        <v>805</v>
      </c>
      <c r="AF580">
        <v>0</v>
      </c>
      <c r="AJ580">
        <v>0</v>
      </c>
      <c r="AK580">
        <v>0</v>
      </c>
      <c r="AL580">
        <v>0</v>
      </c>
      <c r="AM580">
        <v>0</v>
      </c>
      <c r="AN580">
        <v>0</v>
      </c>
      <c r="AO580">
        <v>0</v>
      </c>
      <c r="AP580" s="2">
        <v>42831</v>
      </c>
      <c r="AQ580" t="s">
        <v>72</v>
      </c>
      <c r="AR580" t="s">
        <v>72</v>
      </c>
      <c r="AS580">
        <v>309</v>
      </c>
      <c r="AT580" s="4">
        <v>42773</v>
      </c>
      <c r="AU580" t="s">
        <v>73</v>
      </c>
      <c r="AV580">
        <v>309</v>
      </c>
      <c r="AW580" s="4">
        <v>42773</v>
      </c>
      <c r="BD580">
        <v>0</v>
      </c>
      <c r="BN580" t="s">
        <v>74</v>
      </c>
    </row>
    <row r="581" spans="1:66">
      <c r="A581">
        <v>100695</v>
      </c>
      <c r="B581" t="s">
        <v>168</v>
      </c>
      <c r="C581" s="1">
        <v>43300101</v>
      </c>
      <c r="D581" t="s">
        <v>67</v>
      </c>
      <c r="H581" t="str">
        <f t="shared" si="69"/>
        <v>00721920155</v>
      </c>
      <c r="I581" t="str">
        <f t="shared" si="69"/>
        <v>00721920155</v>
      </c>
      <c r="K581" t="str">
        <f>""</f>
        <v/>
      </c>
      <c r="M581" t="s">
        <v>68</v>
      </c>
      <c r="N581" t="str">
        <f t="shared" si="68"/>
        <v>FOR</v>
      </c>
      <c r="O581" t="s">
        <v>69</v>
      </c>
      <c r="P581" t="s">
        <v>75</v>
      </c>
      <c r="Q581">
        <v>2016</v>
      </c>
      <c r="R581" s="4">
        <v>42704</v>
      </c>
      <c r="S581" s="2">
        <v>42711</v>
      </c>
      <c r="T581" s="2">
        <v>42706</v>
      </c>
      <c r="U581" s="4">
        <v>42766</v>
      </c>
      <c r="V581" t="s">
        <v>71</v>
      </c>
      <c r="W581" t="str">
        <f>"          5840129958"</f>
        <v xml:space="preserve">          5840129958</v>
      </c>
      <c r="X581">
        <v>119.6</v>
      </c>
      <c r="Y581">
        <v>0</v>
      </c>
      <c r="Z581" s="5">
        <v>115</v>
      </c>
      <c r="AA581" s="3">
        <v>7</v>
      </c>
      <c r="AB581" s="3">
        <v>805</v>
      </c>
      <c r="AC581">
        <v>115</v>
      </c>
      <c r="AD581">
        <v>7</v>
      </c>
      <c r="AE581">
        <v>805</v>
      </c>
      <c r="AF581">
        <v>0</v>
      </c>
      <c r="AJ581">
        <v>0</v>
      </c>
      <c r="AK581">
        <v>0</v>
      </c>
      <c r="AL581">
        <v>0</v>
      </c>
      <c r="AM581">
        <v>0</v>
      </c>
      <c r="AN581">
        <v>0</v>
      </c>
      <c r="AO581">
        <v>0</v>
      </c>
      <c r="AP581" s="2">
        <v>42831</v>
      </c>
      <c r="AQ581" t="s">
        <v>72</v>
      </c>
      <c r="AR581" t="s">
        <v>72</v>
      </c>
      <c r="AS581">
        <v>309</v>
      </c>
      <c r="AT581" s="4">
        <v>42773</v>
      </c>
      <c r="AU581" t="s">
        <v>73</v>
      </c>
      <c r="AV581">
        <v>309</v>
      </c>
      <c r="AW581" s="4">
        <v>42773</v>
      </c>
      <c r="BD581">
        <v>0</v>
      </c>
      <c r="BN581" t="s">
        <v>74</v>
      </c>
    </row>
    <row r="582" spans="1:66">
      <c r="A582">
        <v>100695</v>
      </c>
      <c r="B582" t="s">
        <v>168</v>
      </c>
      <c r="C582" s="1">
        <v>43300101</v>
      </c>
      <c r="D582" t="s">
        <v>67</v>
      </c>
      <c r="H582" t="str">
        <f t="shared" si="69"/>
        <v>00721920155</v>
      </c>
      <c r="I582" t="str">
        <f t="shared" si="69"/>
        <v>00721920155</v>
      </c>
      <c r="K582" t="str">
        <f>""</f>
        <v/>
      </c>
      <c r="M582" t="s">
        <v>68</v>
      </c>
      <c r="N582" t="str">
        <f t="shared" si="68"/>
        <v>FOR</v>
      </c>
      <c r="O582" t="s">
        <v>69</v>
      </c>
      <c r="P582" t="s">
        <v>75</v>
      </c>
      <c r="Q582">
        <v>2016</v>
      </c>
      <c r="R582" s="4">
        <v>42704</v>
      </c>
      <c r="S582" s="2">
        <v>42711</v>
      </c>
      <c r="T582" s="2">
        <v>42706</v>
      </c>
      <c r="U582" s="4">
        <v>42766</v>
      </c>
      <c r="V582" t="s">
        <v>71</v>
      </c>
      <c r="W582" t="str">
        <f>"          5840129964"</f>
        <v xml:space="preserve">          5840129964</v>
      </c>
      <c r="X582">
        <v>119.6</v>
      </c>
      <c r="Y582">
        <v>0</v>
      </c>
      <c r="Z582" s="5">
        <v>115</v>
      </c>
      <c r="AA582" s="3">
        <v>7</v>
      </c>
      <c r="AB582" s="3">
        <v>805</v>
      </c>
      <c r="AC582">
        <v>115</v>
      </c>
      <c r="AD582">
        <v>7</v>
      </c>
      <c r="AE582">
        <v>805</v>
      </c>
      <c r="AF582">
        <v>0</v>
      </c>
      <c r="AJ582">
        <v>0</v>
      </c>
      <c r="AK582">
        <v>0</v>
      </c>
      <c r="AL582">
        <v>0</v>
      </c>
      <c r="AM582">
        <v>0</v>
      </c>
      <c r="AN582">
        <v>0</v>
      </c>
      <c r="AO582">
        <v>0</v>
      </c>
      <c r="AP582" s="2">
        <v>42831</v>
      </c>
      <c r="AQ582" t="s">
        <v>72</v>
      </c>
      <c r="AR582" t="s">
        <v>72</v>
      </c>
      <c r="AS582">
        <v>309</v>
      </c>
      <c r="AT582" s="4">
        <v>42773</v>
      </c>
      <c r="AU582" t="s">
        <v>73</v>
      </c>
      <c r="AV582">
        <v>309</v>
      </c>
      <c r="AW582" s="4">
        <v>42773</v>
      </c>
      <c r="BD582">
        <v>0</v>
      </c>
      <c r="BN582" t="s">
        <v>74</v>
      </c>
    </row>
    <row r="583" spans="1:66">
      <c r="A583">
        <v>100695</v>
      </c>
      <c r="B583" t="s">
        <v>168</v>
      </c>
      <c r="C583" s="1">
        <v>43300101</v>
      </c>
      <c r="D583" t="s">
        <v>67</v>
      </c>
      <c r="H583" t="str">
        <f t="shared" si="69"/>
        <v>00721920155</v>
      </c>
      <c r="I583" t="str">
        <f t="shared" si="69"/>
        <v>00721920155</v>
      </c>
      <c r="K583" t="str">
        <f>""</f>
        <v/>
      </c>
      <c r="M583" t="s">
        <v>68</v>
      </c>
      <c r="N583" t="str">
        <f t="shared" si="68"/>
        <v>FOR</v>
      </c>
      <c r="O583" t="s">
        <v>69</v>
      </c>
      <c r="P583" t="s">
        <v>75</v>
      </c>
      <c r="Q583">
        <v>2016</v>
      </c>
      <c r="R583" s="4">
        <v>42704</v>
      </c>
      <c r="S583" s="2">
        <v>42711</v>
      </c>
      <c r="T583" s="2">
        <v>42706</v>
      </c>
      <c r="U583" s="4">
        <v>42766</v>
      </c>
      <c r="V583" t="s">
        <v>71</v>
      </c>
      <c r="W583" t="str">
        <f>"          5840129993"</f>
        <v xml:space="preserve">          5840129993</v>
      </c>
      <c r="X583">
        <v>119.6</v>
      </c>
      <c r="Y583">
        <v>0</v>
      </c>
      <c r="Z583" s="5">
        <v>115</v>
      </c>
      <c r="AA583" s="3">
        <v>7</v>
      </c>
      <c r="AB583" s="3">
        <v>805</v>
      </c>
      <c r="AC583">
        <v>115</v>
      </c>
      <c r="AD583">
        <v>7</v>
      </c>
      <c r="AE583">
        <v>805</v>
      </c>
      <c r="AF583">
        <v>0</v>
      </c>
      <c r="AJ583">
        <v>0</v>
      </c>
      <c r="AK583">
        <v>0</v>
      </c>
      <c r="AL583">
        <v>0</v>
      </c>
      <c r="AM583">
        <v>0</v>
      </c>
      <c r="AN583">
        <v>0</v>
      </c>
      <c r="AO583">
        <v>0</v>
      </c>
      <c r="AP583" s="2">
        <v>42831</v>
      </c>
      <c r="AQ583" t="s">
        <v>72</v>
      </c>
      <c r="AR583" t="s">
        <v>72</v>
      </c>
      <c r="AS583">
        <v>309</v>
      </c>
      <c r="AT583" s="4">
        <v>42773</v>
      </c>
      <c r="AU583" t="s">
        <v>73</v>
      </c>
      <c r="AV583">
        <v>309</v>
      </c>
      <c r="AW583" s="4">
        <v>42773</v>
      </c>
      <c r="BD583">
        <v>0</v>
      </c>
      <c r="BN583" t="s">
        <v>74</v>
      </c>
    </row>
    <row r="584" spans="1:66">
      <c r="A584">
        <v>100695</v>
      </c>
      <c r="B584" t="s">
        <v>168</v>
      </c>
      <c r="C584" s="1">
        <v>43300101</v>
      </c>
      <c r="D584" t="s">
        <v>67</v>
      </c>
      <c r="H584" t="str">
        <f t="shared" si="69"/>
        <v>00721920155</v>
      </c>
      <c r="I584" t="str">
        <f t="shared" si="69"/>
        <v>00721920155</v>
      </c>
      <c r="K584" t="str">
        <f>""</f>
        <v/>
      </c>
      <c r="M584" t="s">
        <v>68</v>
      </c>
      <c r="N584" t="str">
        <f t="shared" si="68"/>
        <v>FOR</v>
      </c>
      <c r="O584" t="s">
        <v>69</v>
      </c>
      <c r="P584" t="s">
        <v>75</v>
      </c>
      <c r="Q584">
        <v>2016</v>
      </c>
      <c r="R584" s="4">
        <v>42704</v>
      </c>
      <c r="S584" s="2">
        <v>42711</v>
      </c>
      <c r="T584" s="2">
        <v>42706</v>
      </c>
      <c r="U584" s="4">
        <v>42766</v>
      </c>
      <c r="V584" t="s">
        <v>71</v>
      </c>
      <c r="W584" t="str">
        <f>"          5840130019"</f>
        <v xml:space="preserve">          5840130019</v>
      </c>
      <c r="X584">
        <v>119.6</v>
      </c>
      <c r="Y584">
        <v>0</v>
      </c>
      <c r="Z584" s="5">
        <v>115</v>
      </c>
      <c r="AA584" s="3">
        <v>7</v>
      </c>
      <c r="AB584" s="3">
        <v>805</v>
      </c>
      <c r="AC584">
        <v>115</v>
      </c>
      <c r="AD584">
        <v>7</v>
      </c>
      <c r="AE584">
        <v>805</v>
      </c>
      <c r="AF584">
        <v>0</v>
      </c>
      <c r="AJ584">
        <v>0</v>
      </c>
      <c r="AK584">
        <v>0</v>
      </c>
      <c r="AL584">
        <v>0</v>
      </c>
      <c r="AM584">
        <v>0</v>
      </c>
      <c r="AN584">
        <v>0</v>
      </c>
      <c r="AO584">
        <v>0</v>
      </c>
      <c r="AP584" s="2">
        <v>42831</v>
      </c>
      <c r="AQ584" t="s">
        <v>72</v>
      </c>
      <c r="AR584" t="s">
        <v>72</v>
      </c>
      <c r="AS584">
        <v>309</v>
      </c>
      <c r="AT584" s="4">
        <v>42773</v>
      </c>
      <c r="AU584" t="s">
        <v>73</v>
      </c>
      <c r="AV584">
        <v>309</v>
      </c>
      <c r="AW584" s="4">
        <v>42773</v>
      </c>
      <c r="BD584">
        <v>0</v>
      </c>
      <c r="BN584" t="s">
        <v>74</v>
      </c>
    </row>
    <row r="585" spans="1:66">
      <c r="A585">
        <v>100695</v>
      </c>
      <c r="B585" t="s">
        <v>168</v>
      </c>
      <c r="C585" s="1">
        <v>43300101</v>
      </c>
      <c r="D585" t="s">
        <v>67</v>
      </c>
      <c r="H585" t="str">
        <f t="shared" si="69"/>
        <v>00721920155</v>
      </c>
      <c r="I585" t="str">
        <f t="shared" si="69"/>
        <v>00721920155</v>
      </c>
      <c r="K585" t="str">
        <f>""</f>
        <v/>
      </c>
      <c r="M585" t="s">
        <v>68</v>
      </c>
      <c r="N585" t="str">
        <f t="shared" si="68"/>
        <v>FOR</v>
      </c>
      <c r="O585" t="s">
        <v>69</v>
      </c>
      <c r="P585" t="s">
        <v>75</v>
      </c>
      <c r="Q585">
        <v>2016</v>
      </c>
      <c r="R585" s="4">
        <v>42704</v>
      </c>
      <c r="S585" s="2">
        <v>42711</v>
      </c>
      <c r="T585" s="2">
        <v>42706</v>
      </c>
      <c r="U585" s="4">
        <v>42766</v>
      </c>
      <c r="V585" t="s">
        <v>71</v>
      </c>
      <c r="W585" t="str">
        <f>"          5840130033"</f>
        <v xml:space="preserve">          5840130033</v>
      </c>
      <c r="X585">
        <v>119.6</v>
      </c>
      <c r="Y585">
        <v>0</v>
      </c>
      <c r="Z585" s="5">
        <v>115</v>
      </c>
      <c r="AA585" s="3">
        <v>7</v>
      </c>
      <c r="AB585" s="3">
        <v>805</v>
      </c>
      <c r="AC585">
        <v>115</v>
      </c>
      <c r="AD585">
        <v>7</v>
      </c>
      <c r="AE585">
        <v>805</v>
      </c>
      <c r="AF585">
        <v>0</v>
      </c>
      <c r="AJ585">
        <v>0</v>
      </c>
      <c r="AK585">
        <v>0</v>
      </c>
      <c r="AL585">
        <v>0</v>
      </c>
      <c r="AM585">
        <v>0</v>
      </c>
      <c r="AN585">
        <v>0</v>
      </c>
      <c r="AO585">
        <v>0</v>
      </c>
      <c r="AP585" s="2">
        <v>42831</v>
      </c>
      <c r="AQ585" t="s">
        <v>72</v>
      </c>
      <c r="AR585" t="s">
        <v>72</v>
      </c>
      <c r="AS585">
        <v>309</v>
      </c>
      <c r="AT585" s="4">
        <v>42773</v>
      </c>
      <c r="AU585" t="s">
        <v>73</v>
      </c>
      <c r="AV585">
        <v>309</v>
      </c>
      <c r="AW585" s="4">
        <v>42773</v>
      </c>
      <c r="BD585">
        <v>0</v>
      </c>
      <c r="BN585" t="s">
        <v>74</v>
      </c>
    </row>
    <row r="586" spans="1:66">
      <c r="A586">
        <v>100695</v>
      </c>
      <c r="B586" t="s">
        <v>168</v>
      </c>
      <c r="C586" s="1">
        <v>43300101</v>
      </c>
      <c r="D586" t="s">
        <v>67</v>
      </c>
      <c r="H586" t="str">
        <f t="shared" si="69"/>
        <v>00721920155</v>
      </c>
      <c r="I586" t="str">
        <f t="shared" si="69"/>
        <v>00721920155</v>
      </c>
      <c r="K586" t="str">
        <f>""</f>
        <v/>
      </c>
      <c r="M586" t="s">
        <v>68</v>
      </c>
      <c r="N586" t="str">
        <f t="shared" si="68"/>
        <v>FOR</v>
      </c>
      <c r="O586" t="s">
        <v>69</v>
      </c>
      <c r="P586" t="s">
        <v>75</v>
      </c>
      <c r="Q586">
        <v>2016</v>
      </c>
      <c r="R586" s="4">
        <v>42704</v>
      </c>
      <c r="S586" s="2">
        <v>42711</v>
      </c>
      <c r="T586" s="2">
        <v>42706</v>
      </c>
      <c r="U586" s="4">
        <v>42766</v>
      </c>
      <c r="V586" t="s">
        <v>71</v>
      </c>
      <c r="W586" t="str">
        <f>"          5840130041"</f>
        <v xml:space="preserve">          5840130041</v>
      </c>
      <c r="X586">
        <v>119.6</v>
      </c>
      <c r="Y586">
        <v>0</v>
      </c>
      <c r="Z586" s="5">
        <v>115</v>
      </c>
      <c r="AA586" s="3">
        <v>7</v>
      </c>
      <c r="AB586" s="3">
        <v>805</v>
      </c>
      <c r="AC586">
        <v>115</v>
      </c>
      <c r="AD586">
        <v>7</v>
      </c>
      <c r="AE586">
        <v>805</v>
      </c>
      <c r="AF586">
        <v>0</v>
      </c>
      <c r="AJ586">
        <v>0</v>
      </c>
      <c r="AK586">
        <v>0</v>
      </c>
      <c r="AL586">
        <v>0</v>
      </c>
      <c r="AM586">
        <v>0</v>
      </c>
      <c r="AN586">
        <v>0</v>
      </c>
      <c r="AO586">
        <v>0</v>
      </c>
      <c r="AP586" s="2">
        <v>42831</v>
      </c>
      <c r="AQ586" t="s">
        <v>72</v>
      </c>
      <c r="AR586" t="s">
        <v>72</v>
      </c>
      <c r="AS586">
        <v>309</v>
      </c>
      <c r="AT586" s="4">
        <v>42773</v>
      </c>
      <c r="AU586" t="s">
        <v>73</v>
      </c>
      <c r="AV586">
        <v>309</v>
      </c>
      <c r="AW586" s="4">
        <v>42773</v>
      </c>
      <c r="BD586">
        <v>0</v>
      </c>
      <c r="BN586" t="s">
        <v>74</v>
      </c>
    </row>
    <row r="587" spans="1:66">
      <c r="A587">
        <v>100695</v>
      </c>
      <c r="B587" t="s">
        <v>168</v>
      </c>
      <c r="C587" s="1">
        <v>43300101</v>
      </c>
      <c r="D587" t="s">
        <v>67</v>
      </c>
      <c r="H587" t="str">
        <f t="shared" si="69"/>
        <v>00721920155</v>
      </c>
      <c r="I587" t="str">
        <f t="shared" si="69"/>
        <v>00721920155</v>
      </c>
      <c r="K587" t="str">
        <f>""</f>
        <v/>
      </c>
      <c r="M587" t="s">
        <v>68</v>
      </c>
      <c r="N587" t="str">
        <f t="shared" si="68"/>
        <v>FOR</v>
      </c>
      <c r="O587" t="s">
        <v>69</v>
      </c>
      <c r="P587" t="s">
        <v>75</v>
      </c>
      <c r="Q587">
        <v>2016</v>
      </c>
      <c r="R587" s="4">
        <v>42704</v>
      </c>
      <c r="S587" s="2">
        <v>42711</v>
      </c>
      <c r="T587" s="2">
        <v>42706</v>
      </c>
      <c r="U587" s="4">
        <v>42766</v>
      </c>
      <c r="V587" t="s">
        <v>71</v>
      </c>
      <c r="W587" t="str">
        <f>"          5840130049"</f>
        <v xml:space="preserve">          5840130049</v>
      </c>
      <c r="X587">
        <v>119.6</v>
      </c>
      <c r="Y587">
        <v>0</v>
      </c>
      <c r="Z587" s="5">
        <v>115</v>
      </c>
      <c r="AA587" s="3">
        <v>7</v>
      </c>
      <c r="AB587" s="3">
        <v>805</v>
      </c>
      <c r="AC587">
        <v>115</v>
      </c>
      <c r="AD587">
        <v>7</v>
      </c>
      <c r="AE587">
        <v>805</v>
      </c>
      <c r="AF587">
        <v>0</v>
      </c>
      <c r="AJ587">
        <v>0</v>
      </c>
      <c r="AK587">
        <v>0</v>
      </c>
      <c r="AL587">
        <v>0</v>
      </c>
      <c r="AM587">
        <v>0</v>
      </c>
      <c r="AN587">
        <v>0</v>
      </c>
      <c r="AO587">
        <v>0</v>
      </c>
      <c r="AP587" s="2">
        <v>42831</v>
      </c>
      <c r="AQ587" t="s">
        <v>72</v>
      </c>
      <c r="AR587" t="s">
        <v>72</v>
      </c>
      <c r="AS587">
        <v>309</v>
      </c>
      <c r="AT587" s="4">
        <v>42773</v>
      </c>
      <c r="AU587" t="s">
        <v>73</v>
      </c>
      <c r="AV587">
        <v>309</v>
      </c>
      <c r="AW587" s="4">
        <v>42773</v>
      </c>
      <c r="BD587">
        <v>0</v>
      </c>
      <c r="BN587" t="s">
        <v>74</v>
      </c>
    </row>
    <row r="588" spans="1:66">
      <c r="A588">
        <v>100695</v>
      </c>
      <c r="B588" t="s">
        <v>168</v>
      </c>
      <c r="C588" s="1">
        <v>43300101</v>
      </c>
      <c r="D588" t="s">
        <v>67</v>
      </c>
      <c r="H588" t="str">
        <f t="shared" si="69"/>
        <v>00721920155</v>
      </c>
      <c r="I588" t="str">
        <f t="shared" si="69"/>
        <v>00721920155</v>
      </c>
      <c r="K588" t="str">
        <f>""</f>
        <v/>
      </c>
      <c r="M588" t="s">
        <v>68</v>
      </c>
      <c r="N588" t="str">
        <f t="shared" si="68"/>
        <v>FOR</v>
      </c>
      <c r="O588" t="s">
        <v>69</v>
      </c>
      <c r="P588" t="s">
        <v>75</v>
      </c>
      <c r="Q588">
        <v>2016</v>
      </c>
      <c r="R588" s="4">
        <v>42706</v>
      </c>
      <c r="S588" s="2">
        <v>42718</v>
      </c>
      <c r="T588" s="2">
        <v>42713</v>
      </c>
      <c r="U588" s="4">
        <v>42773</v>
      </c>
      <c r="V588" t="s">
        <v>71</v>
      </c>
      <c r="W588" t="str">
        <f>"          5840130188"</f>
        <v xml:space="preserve">          5840130188</v>
      </c>
      <c r="X588">
        <v>119.6</v>
      </c>
      <c r="Y588">
        <v>0</v>
      </c>
      <c r="Z588" s="5">
        <v>115</v>
      </c>
      <c r="AB588" s="3">
        <v>0</v>
      </c>
      <c r="AC588">
        <v>115</v>
      </c>
      <c r="AE588">
        <v>0</v>
      </c>
      <c r="AF588">
        <v>0</v>
      </c>
      <c r="AJ588">
        <v>0</v>
      </c>
      <c r="AK588">
        <v>0</v>
      </c>
      <c r="AL588">
        <v>0</v>
      </c>
      <c r="AM588">
        <v>0</v>
      </c>
      <c r="AN588">
        <v>0</v>
      </c>
      <c r="AO588">
        <v>0</v>
      </c>
      <c r="AP588" s="2">
        <v>42831</v>
      </c>
      <c r="AQ588" t="s">
        <v>72</v>
      </c>
      <c r="AR588" t="s">
        <v>72</v>
      </c>
      <c r="AS588">
        <v>309</v>
      </c>
      <c r="AT588" s="4">
        <v>42773</v>
      </c>
      <c r="AV588">
        <v>309</v>
      </c>
      <c r="AW588" s="4">
        <v>42773</v>
      </c>
      <c r="BD588">
        <v>0</v>
      </c>
      <c r="BN588" t="s">
        <v>74</v>
      </c>
    </row>
    <row r="589" spans="1:66">
      <c r="A589">
        <v>100695</v>
      </c>
      <c r="B589" t="s">
        <v>168</v>
      </c>
      <c r="C589" s="1">
        <v>43300101</v>
      </c>
      <c r="D589" t="s">
        <v>67</v>
      </c>
      <c r="H589" t="str">
        <f t="shared" si="69"/>
        <v>00721920155</v>
      </c>
      <c r="I589" t="str">
        <f t="shared" si="69"/>
        <v>00721920155</v>
      </c>
      <c r="K589" t="str">
        <f>""</f>
        <v/>
      </c>
      <c r="M589" t="s">
        <v>68</v>
      </c>
      <c r="N589" t="str">
        <f t="shared" si="68"/>
        <v>FOR</v>
      </c>
      <c r="O589" t="s">
        <v>69</v>
      </c>
      <c r="P589" t="s">
        <v>75</v>
      </c>
      <c r="Q589">
        <v>2016</v>
      </c>
      <c r="R589" s="4">
        <v>42716</v>
      </c>
      <c r="S589" s="2">
        <v>42725</v>
      </c>
      <c r="T589" s="2">
        <v>42723</v>
      </c>
      <c r="U589" s="4">
        <v>42783</v>
      </c>
      <c r="V589" t="s">
        <v>71</v>
      </c>
      <c r="W589" t="str">
        <f>"          5840130426"</f>
        <v xml:space="preserve">          5840130426</v>
      </c>
      <c r="X589">
        <v>119.6</v>
      </c>
      <c r="Y589">
        <v>0</v>
      </c>
      <c r="Z589" s="5">
        <v>115</v>
      </c>
      <c r="AA589" s="3">
        <v>-10</v>
      </c>
      <c r="AB589" s="5">
        <v>-1150</v>
      </c>
      <c r="AC589">
        <v>115</v>
      </c>
      <c r="AD589">
        <v>-10</v>
      </c>
      <c r="AE589" s="1">
        <v>-1150</v>
      </c>
      <c r="AF589">
        <v>0</v>
      </c>
      <c r="AJ589">
        <v>0</v>
      </c>
      <c r="AK589">
        <v>0</v>
      </c>
      <c r="AL589">
        <v>0</v>
      </c>
      <c r="AM589">
        <v>0</v>
      </c>
      <c r="AN589">
        <v>0</v>
      </c>
      <c r="AO589">
        <v>0</v>
      </c>
      <c r="AP589" s="2">
        <v>42831</v>
      </c>
      <c r="AQ589" t="s">
        <v>72</v>
      </c>
      <c r="AR589" t="s">
        <v>72</v>
      </c>
      <c r="AS589">
        <v>309</v>
      </c>
      <c r="AT589" s="4">
        <v>42773</v>
      </c>
      <c r="AV589">
        <v>309</v>
      </c>
      <c r="AW589" s="4">
        <v>42773</v>
      </c>
      <c r="BD589">
        <v>0</v>
      </c>
      <c r="BN589" t="s">
        <v>74</v>
      </c>
    </row>
    <row r="590" spans="1:66">
      <c r="A590">
        <v>100695</v>
      </c>
      <c r="B590" t="s">
        <v>168</v>
      </c>
      <c r="C590" s="1">
        <v>43300101</v>
      </c>
      <c r="D590" t="s">
        <v>67</v>
      </c>
      <c r="H590" t="str">
        <f t="shared" si="69"/>
        <v>00721920155</v>
      </c>
      <c r="I590" t="str">
        <f t="shared" si="69"/>
        <v>00721920155</v>
      </c>
      <c r="K590" t="str">
        <f>""</f>
        <v/>
      </c>
      <c r="M590" t="s">
        <v>68</v>
      </c>
      <c r="N590" t="str">
        <f t="shared" si="68"/>
        <v>FOR</v>
      </c>
      <c r="O590" t="s">
        <v>69</v>
      </c>
      <c r="P590" t="s">
        <v>75</v>
      </c>
      <c r="Q590">
        <v>2016</v>
      </c>
      <c r="R590" s="4">
        <v>42716</v>
      </c>
      <c r="S590" s="2">
        <v>42725</v>
      </c>
      <c r="T590" s="2">
        <v>42723</v>
      </c>
      <c r="U590" s="4">
        <v>42783</v>
      </c>
      <c r="V590" t="s">
        <v>71</v>
      </c>
      <c r="W590" t="str">
        <f>"          5840130433"</f>
        <v xml:space="preserve">          5840130433</v>
      </c>
      <c r="X590">
        <v>119.6</v>
      </c>
      <c r="Y590">
        <v>0</v>
      </c>
      <c r="Z590" s="5">
        <v>115</v>
      </c>
      <c r="AA590" s="3">
        <v>-10</v>
      </c>
      <c r="AB590" s="5">
        <v>-1150</v>
      </c>
      <c r="AC590">
        <v>115</v>
      </c>
      <c r="AD590">
        <v>-10</v>
      </c>
      <c r="AE590" s="1">
        <v>-1150</v>
      </c>
      <c r="AF590">
        <v>0</v>
      </c>
      <c r="AJ590">
        <v>0</v>
      </c>
      <c r="AK590">
        <v>0</v>
      </c>
      <c r="AL590">
        <v>0</v>
      </c>
      <c r="AM590">
        <v>0</v>
      </c>
      <c r="AN590">
        <v>0</v>
      </c>
      <c r="AO590">
        <v>0</v>
      </c>
      <c r="AP590" s="2">
        <v>42831</v>
      </c>
      <c r="AQ590" t="s">
        <v>72</v>
      </c>
      <c r="AR590" t="s">
        <v>72</v>
      </c>
      <c r="AS590">
        <v>309</v>
      </c>
      <c r="AT590" s="4">
        <v>42773</v>
      </c>
      <c r="AV590">
        <v>309</v>
      </c>
      <c r="AW590" s="4">
        <v>42773</v>
      </c>
      <c r="BD590">
        <v>0</v>
      </c>
      <c r="BN590" t="s">
        <v>74</v>
      </c>
    </row>
    <row r="591" spans="1:66">
      <c r="A591">
        <v>100695</v>
      </c>
      <c r="B591" t="s">
        <v>168</v>
      </c>
      <c r="C591" s="1">
        <v>43300101</v>
      </c>
      <c r="D591" t="s">
        <v>67</v>
      </c>
      <c r="H591" t="str">
        <f t="shared" si="69"/>
        <v>00721920155</v>
      </c>
      <c r="I591" t="str">
        <f t="shared" si="69"/>
        <v>00721920155</v>
      </c>
      <c r="K591" t="str">
        <f>""</f>
        <v/>
      </c>
      <c r="M591" t="s">
        <v>68</v>
      </c>
      <c r="N591" t="str">
        <f t="shared" si="68"/>
        <v>FOR</v>
      </c>
      <c r="O591" t="s">
        <v>69</v>
      </c>
      <c r="P591" t="s">
        <v>75</v>
      </c>
      <c r="Q591">
        <v>2016</v>
      </c>
      <c r="R591" s="4">
        <v>42717</v>
      </c>
      <c r="S591" s="2">
        <v>42725</v>
      </c>
      <c r="T591" s="2">
        <v>42723</v>
      </c>
      <c r="U591" s="4">
        <v>42783</v>
      </c>
      <c r="V591" t="s">
        <v>71</v>
      </c>
      <c r="W591" t="str">
        <f>"          5840130449"</f>
        <v xml:space="preserve">          5840130449</v>
      </c>
      <c r="X591">
        <v>119.6</v>
      </c>
      <c r="Y591">
        <v>0</v>
      </c>
      <c r="Z591" s="5">
        <v>115</v>
      </c>
      <c r="AA591" s="3">
        <v>-10</v>
      </c>
      <c r="AB591" s="5">
        <v>-1150</v>
      </c>
      <c r="AC591">
        <v>115</v>
      </c>
      <c r="AD591">
        <v>-10</v>
      </c>
      <c r="AE591" s="1">
        <v>-1150</v>
      </c>
      <c r="AF591">
        <v>0</v>
      </c>
      <c r="AJ591">
        <v>0</v>
      </c>
      <c r="AK591">
        <v>0</v>
      </c>
      <c r="AL591">
        <v>0</v>
      </c>
      <c r="AM591">
        <v>0</v>
      </c>
      <c r="AN591">
        <v>0</v>
      </c>
      <c r="AO591">
        <v>0</v>
      </c>
      <c r="AP591" s="2">
        <v>42831</v>
      </c>
      <c r="AQ591" t="s">
        <v>72</v>
      </c>
      <c r="AR591" t="s">
        <v>72</v>
      </c>
      <c r="AS591">
        <v>309</v>
      </c>
      <c r="AT591" s="4">
        <v>42773</v>
      </c>
      <c r="AV591">
        <v>309</v>
      </c>
      <c r="AW591" s="4">
        <v>42773</v>
      </c>
      <c r="BD591">
        <v>0</v>
      </c>
      <c r="BN591" t="s">
        <v>74</v>
      </c>
    </row>
    <row r="592" spans="1:66">
      <c r="A592">
        <v>100700</v>
      </c>
      <c r="B592" t="s">
        <v>169</v>
      </c>
      <c r="C592" s="1">
        <v>43300101</v>
      </c>
      <c r="D592" t="s">
        <v>67</v>
      </c>
      <c r="H592" t="str">
        <f t="shared" ref="H592:H611" si="70">"STFGPP58D22A783F"</f>
        <v>STFGPP58D22A783F</v>
      </c>
      <c r="I592" t="str">
        <f t="shared" ref="I592:I611" si="71">"00766740625"</f>
        <v>00766740625</v>
      </c>
      <c r="K592" t="str">
        <f>""</f>
        <v/>
      </c>
      <c r="M592" t="s">
        <v>68</v>
      </c>
      <c r="N592" t="str">
        <f t="shared" si="68"/>
        <v>FOR</v>
      </c>
      <c r="O592" t="s">
        <v>69</v>
      </c>
      <c r="P592" t="s">
        <v>75</v>
      </c>
      <c r="Q592">
        <v>2016</v>
      </c>
      <c r="R592" s="4">
        <v>42459</v>
      </c>
      <c r="S592" s="2">
        <v>42577</v>
      </c>
      <c r="T592" s="2">
        <v>42572</v>
      </c>
      <c r="U592" s="4">
        <v>42632</v>
      </c>
      <c r="V592" t="s">
        <v>71</v>
      </c>
      <c r="W592" t="str">
        <f>"               118EL"</f>
        <v xml:space="preserve">               118EL</v>
      </c>
      <c r="X592">
        <v>51.48</v>
      </c>
      <c r="Y592">
        <v>0</v>
      </c>
      <c r="Z592" s="5">
        <v>49.5</v>
      </c>
      <c r="AA592" s="3">
        <v>136</v>
      </c>
      <c r="AB592" s="5">
        <v>6732</v>
      </c>
      <c r="AC592">
        <v>49.5</v>
      </c>
      <c r="AD592">
        <v>136</v>
      </c>
      <c r="AE592" s="1">
        <v>6732</v>
      </c>
      <c r="AF592">
        <v>0</v>
      </c>
      <c r="AJ592">
        <v>0</v>
      </c>
      <c r="AK592">
        <v>0</v>
      </c>
      <c r="AL592">
        <v>0</v>
      </c>
      <c r="AM592">
        <v>0</v>
      </c>
      <c r="AN592">
        <v>0</v>
      </c>
      <c r="AO592">
        <v>0</v>
      </c>
      <c r="AP592" s="2">
        <v>42831</v>
      </c>
      <c r="AQ592" t="s">
        <v>72</v>
      </c>
      <c r="AR592" t="s">
        <v>72</v>
      </c>
      <c r="AS592">
        <v>207</v>
      </c>
      <c r="AT592" s="4">
        <v>42768</v>
      </c>
      <c r="AU592" t="s">
        <v>73</v>
      </c>
      <c r="AV592">
        <v>207</v>
      </c>
      <c r="AW592" s="4">
        <v>42768</v>
      </c>
      <c r="BD592">
        <v>0</v>
      </c>
      <c r="BN592" t="s">
        <v>74</v>
      </c>
    </row>
    <row r="593" spans="1:66">
      <c r="A593">
        <v>100700</v>
      </c>
      <c r="B593" t="s">
        <v>169</v>
      </c>
      <c r="C593" s="1">
        <v>43300101</v>
      </c>
      <c r="D593" t="s">
        <v>67</v>
      </c>
      <c r="H593" t="str">
        <f t="shared" si="70"/>
        <v>STFGPP58D22A783F</v>
      </c>
      <c r="I593" t="str">
        <f t="shared" si="71"/>
        <v>00766740625</v>
      </c>
      <c r="K593" t="str">
        <f>""</f>
        <v/>
      </c>
      <c r="M593" t="s">
        <v>68</v>
      </c>
      <c r="N593" t="str">
        <f t="shared" si="68"/>
        <v>FOR</v>
      </c>
      <c r="O593" t="s">
        <v>69</v>
      </c>
      <c r="P593" t="s">
        <v>75</v>
      </c>
      <c r="Q593">
        <v>2016</v>
      </c>
      <c r="R593" s="4">
        <v>42459</v>
      </c>
      <c r="S593" s="2">
        <v>42577</v>
      </c>
      <c r="T593" s="2">
        <v>42572</v>
      </c>
      <c r="U593" s="4">
        <v>42632</v>
      </c>
      <c r="V593" t="s">
        <v>71</v>
      </c>
      <c r="W593" t="str">
        <f>"               119EL"</f>
        <v xml:space="preserve">               119EL</v>
      </c>
      <c r="X593">
        <v>224.22</v>
      </c>
      <c r="Y593">
        <v>0</v>
      </c>
      <c r="Z593" s="5">
        <v>215.6</v>
      </c>
      <c r="AA593" s="3">
        <v>136</v>
      </c>
      <c r="AB593" s="5">
        <v>29321.599999999999</v>
      </c>
      <c r="AC593">
        <v>215.6</v>
      </c>
      <c r="AD593">
        <v>136</v>
      </c>
      <c r="AE593" s="1">
        <v>29321.599999999999</v>
      </c>
      <c r="AF593">
        <v>0</v>
      </c>
      <c r="AJ593">
        <v>0</v>
      </c>
      <c r="AK593">
        <v>0</v>
      </c>
      <c r="AL593">
        <v>0</v>
      </c>
      <c r="AM593">
        <v>0</v>
      </c>
      <c r="AN593">
        <v>0</v>
      </c>
      <c r="AO593">
        <v>0</v>
      </c>
      <c r="AP593" s="2">
        <v>42831</v>
      </c>
      <c r="AQ593" t="s">
        <v>72</v>
      </c>
      <c r="AR593" t="s">
        <v>72</v>
      </c>
      <c r="AS593">
        <v>207</v>
      </c>
      <c r="AT593" s="4">
        <v>42768</v>
      </c>
      <c r="AU593" t="s">
        <v>73</v>
      </c>
      <c r="AV593">
        <v>207</v>
      </c>
      <c r="AW593" s="4">
        <v>42768</v>
      </c>
      <c r="BD593">
        <v>0</v>
      </c>
      <c r="BN593" t="s">
        <v>74</v>
      </c>
    </row>
    <row r="594" spans="1:66">
      <c r="A594">
        <v>100700</v>
      </c>
      <c r="B594" t="s">
        <v>169</v>
      </c>
      <c r="C594" s="1">
        <v>43300101</v>
      </c>
      <c r="D594" t="s">
        <v>67</v>
      </c>
      <c r="H594" t="str">
        <f t="shared" si="70"/>
        <v>STFGPP58D22A783F</v>
      </c>
      <c r="I594" t="str">
        <f t="shared" si="71"/>
        <v>00766740625</v>
      </c>
      <c r="K594" t="str">
        <f>""</f>
        <v/>
      </c>
      <c r="M594" t="s">
        <v>68</v>
      </c>
      <c r="N594" t="str">
        <f t="shared" si="68"/>
        <v>FOR</v>
      </c>
      <c r="O594" t="s">
        <v>69</v>
      </c>
      <c r="P594" t="s">
        <v>75</v>
      </c>
      <c r="Q594">
        <v>2016</v>
      </c>
      <c r="R594" s="4">
        <v>42459</v>
      </c>
      <c r="S594" s="2">
        <v>42577</v>
      </c>
      <c r="T594" s="2">
        <v>42572</v>
      </c>
      <c r="U594" s="4">
        <v>42632</v>
      </c>
      <c r="V594" t="s">
        <v>71</v>
      </c>
      <c r="W594" t="str">
        <f>"               121EL"</f>
        <v xml:space="preserve">               121EL</v>
      </c>
      <c r="X594">
        <v>116.48</v>
      </c>
      <c r="Y594">
        <v>0</v>
      </c>
      <c r="Z594" s="5">
        <v>112</v>
      </c>
      <c r="AA594" s="3">
        <v>136</v>
      </c>
      <c r="AB594" s="5">
        <v>15232</v>
      </c>
      <c r="AC594">
        <v>112</v>
      </c>
      <c r="AD594">
        <v>136</v>
      </c>
      <c r="AE594" s="1">
        <v>15232</v>
      </c>
      <c r="AF594">
        <v>0</v>
      </c>
      <c r="AJ594">
        <v>0</v>
      </c>
      <c r="AK594">
        <v>0</v>
      </c>
      <c r="AL594">
        <v>0</v>
      </c>
      <c r="AM594">
        <v>0</v>
      </c>
      <c r="AN594">
        <v>0</v>
      </c>
      <c r="AO594">
        <v>0</v>
      </c>
      <c r="AP594" s="2">
        <v>42831</v>
      </c>
      <c r="AQ594" t="s">
        <v>72</v>
      </c>
      <c r="AR594" t="s">
        <v>72</v>
      </c>
      <c r="AS594">
        <v>207</v>
      </c>
      <c r="AT594" s="4">
        <v>42768</v>
      </c>
      <c r="AU594" t="s">
        <v>73</v>
      </c>
      <c r="AV594">
        <v>207</v>
      </c>
      <c r="AW594" s="4">
        <v>42768</v>
      </c>
      <c r="BD594">
        <v>0</v>
      </c>
      <c r="BN594" t="s">
        <v>74</v>
      </c>
    </row>
    <row r="595" spans="1:66">
      <c r="A595">
        <v>100700</v>
      </c>
      <c r="B595" t="s">
        <v>169</v>
      </c>
      <c r="C595" s="1">
        <v>43300101</v>
      </c>
      <c r="D595" t="s">
        <v>67</v>
      </c>
      <c r="H595" t="str">
        <f t="shared" si="70"/>
        <v>STFGPP58D22A783F</v>
      </c>
      <c r="I595" t="str">
        <f t="shared" si="71"/>
        <v>00766740625</v>
      </c>
      <c r="K595" t="str">
        <f>""</f>
        <v/>
      </c>
      <c r="M595" t="s">
        <v>68</v>
      </c>
      <c r="N595" t="str">
        <f t="shared" si="68"/>
        <v>FOR</v>
      </c>
      <c r="O595" t="s">
        <v>69</v>
      </c>
      <c r="P595" t="s">
        <v>75</v>
      </c>
      <c r="Q595">
        <v>2016</v>
      </c>
      <c r="R595" s="4">
        <v>42459</v>
      </c>
      <c r="S595" s="2">
        <v>42577</v>
      </c>
      <c r="T595" s="2">
        <v>42572</v>
      </c>
      <c r="U595" s="4">
        <v>42632</v>
      </c>
      <c r="V595" t="s">
        <v>71</v>
      </c>
      <c r="W595" t="str">
        <f>"               122EL"</f>
        <v xml:space="preserve">               122EL</v>
      </c>
      <c r="X595">
        <v>73.2</v>
      </c>
      <c r="Y595">
        <v>0</v>
      </c>
      <c r="Z595" s="5">
        <v>60</v>
      </c>
      <c r="AA595" s="3">
        <v>136</v>
      </c>
      <c r="AB595" s="5">
        <v>8160</v>
      </c>
      <c r="AC595">
        <v>60</v>
      </c>
      <c r="AD595">
        <v>136</v>
      </c>
      <c r="AE595" s="1">
        <v>8160</v>
      </c>
      <c r="AF595">
        <v>0</v>
      </c>
      <c r="AJ595">
        <v>0</v>
      </c>
      <c r="AK595">
        <v>0</v>
      </c>
      <c r="AL595">
        <v>0</v>
      </c>
      <c r="AM595">
        <v>0</v>
      </c>
      <c r="AN595">
        <v>0</v>
      </c>
      <c r="AO595">
        <v>0</v>
      </c>
      <c r="AP595" s="2">
        <v>42831</v>
      </c>
      <c r="AQ595" t="s">
        <v>72</v>
      </c>
      <c r="AR595" t="s">
        <v>72</v>
      </c>
      <c r="AS595">
        <v>207</v>
      </c>
      <c r="AT595" s="4">
        <v>42768</v>
      </c>
      <c r="AU595" t="s">
        <v>73</v>
      </c>
      <c r="AV595">
        <v>207</v>
      </c>
      <c r="AW595" s="4">
        <v>42768</v>
      </c>
      <c r="BD595">
        <v>0</v>
      </c>
      <c r="BN595" t="s">
        <v>74</v>
      </c>
    </row>
    <row r="596" spans="1:66">
      <c r="A596">
        <v>100700</v>
      </c>
      <c r="B596" t="s">
        <v>169</v>
      </c>
      <c r="C596" s="1">
        <v>43300101</v>
      </c>
      <c r="D596" t="s">
        <v>67</v>
      </c>
      <c r="H596" t="str">
        <f t="shared" si="70"/>
        <v>STFGPP58D22A783F</v>
      </c>
      <c r="I596" t="str">
        <f t="shared" si="71"/>
        <v>00766740625</v>
      </c>
      <c r="K596" t="str">
        <f>""</f>
        <v/>
      </c>
      <c r="M596" t="s">
        <v>68</v>
      </c>
      <c r="N596" t="str">
        <f t="shared" si="68"/>
        <v>FOR</v>
      </c>
      <c r="O596" t="s">
        <v>69</v>
      </c>
      <c r="P596" t="s">
        <v>75</v>
      </c>
      <c r="Q596">
        <v>2016</v>
      </c>
      <c r="R596" s="4">
        <v>42460</v>
      </c>
      <c r="S596" s="2">
        <v>42577</v>
      </c>
      <c r="T596" s="2">
        <v>42572</v>
      </c>
      <c r="U596" s="4">
        <v>42632</v>
      </c>
      <c r="V596" t="s">
        <v>71</v>
      </c>
      <c r="W596" t="str">
        <f>"               124EL"</f>
        <v xml:space="preserve">               124EL</v>
      </c>
      <c r="X596">
        <v>557.36</v>
      </c>
      <c r="Y596">
        <v>0</v>
      </c>
      <c r="Z596" s="5">
        <v>535.91999999999996</v>
      </c>
      <c r="AA596" s="3">
        <v>136</v>
      </c>
      <c r="AB596" s="5">
        <v>72885.119999999995</v>
      </c>
      <c r="AC596">
        <v>535.91999999999996</v>
      </c>
      <c r="AD596">
        <v>136</v>
      </c>
      <c r="AE596" s="1">
        <v>72885.119999999995</v>
      </c>
      <c r="AF596">
        <v>0</v>
      </c>
      <c r="AJ596">
        <v>0</v>
      </c>
      <c r="AK596">
        <v>0</v>
      </c>
      <c r="AL596">
        <v>0</v>
      </c>
      <c r="AM596">
        <v>0</v>
      </c>
      <c r="AN596">
        <v>0</v>
      </c>
      <c r="AO596">
        <v>0</v>
      </c>
      <c r="AP596" s="2">
        <v>42831</v>
      </c>
      <c r="AQ596" t="s">
        <v>72</v>
      </c>
      <c r="AR596" t="s">
        <v>72</v>
      </c>
      <c r="AS596">
        <v>207</v>
      </c>
      <c r="AT596" s="4">
        <v>42768</v>
      </c>
      <c r="AU596" t="s">
        <v>73</v>
      </c>
      <c r="AV596">
        <v>207</v>
      </c>
      <c r="AW596" s="4">
        <v>42768</v>
      </c>
      <c r="BD596">
        <v>0</v>
      </c>
      <c r="BN596" t="s">
        <v>74</v>
      </c>
    </row>
    <row r="597" spans="1:66">
      <c r="A597">
        <v>100700</v>
      </c>
      <c r="B597" t="s">
        <v>169</v>
      </c>
      <c r="C597" s="1">
        <v>43300101</v>
      </c>
      <c r="D597" t="s">
        <v>67</v>
      </c>
      <c r="H597" t="str">
        <f t="shared" si="70"/>
        <v>STFGPP58D22A783F</v>
      </c>
      <c r="I597" t="str">
        <f t="shared" si="71"/>
        <v>00766740625</v>
      </c>
      <c r="K597" t="str">
        <f>""</f>
        <v/>
      </c>
      <c r="M597" t="s">
        <v>68</v>
      </c>
      <c r="N597" t="str">
        <f t="shared" ref="N597:N628" si="72">"FOR"</f>
        <v>FOR</v>
      </c>
      <c r="O597" t="s">
        <v>69</v>
      </c>
      <c r="P597" t="s">
        <v>75</v>
      </c>
      <c r="Q597">
        <v>2016</v>
      </c>
      <c r="R597" s="4">
        <v>42460</v>
      </c>
      <c r="S597" s="2">
        <v>42577</v>
      </c>
      <c r="T597" s="2">
        <v>42572</v>
      </c>
      <c r="U597" s="4">
        <v>42632</v>
      </c>
      <c r="V597" t="s">
        <v>71</v>
      </c>
      <c r="W597" t="str">
        <f>"               125EL"</f>
        <v xml:space="preserve">               125EL</v>
      </c>
      <c r="X597">
        <v>496.08</v>
      </c>
      <c r="Y597">
        <v>0</v>
      </c>
      <c r="Z597" s="5">
        <v>477</v>
      </c>
      <c r="AA597" s="3">
        <v>136</v>
      </c>
      <c r="AB597" s="5">
        <v>64872</v>
      </c>
      <c r="AC597">
        <v>477</v>
      </c>
      <c r="AD597">
        <v>136</v>
      </c>
      <c r="AE597" s="1">
        <v>64872</v>
      </c>
      <c r="AF597">
        <v>0</v>
      </c>
      <c r="AJ597">
        <v>0</v>
      </c>
      <c r="AK597">
        <v>0</v>
      </c>
      <c r="AL597">
        <v>0</v>
      </c>
      <c r="AM597">
        <v>0</v>
      </c>
      <c r="AN597">
        <v>0</v>
      </c>
      <c r="AO597">
        <v>0</v>
      </c>
      <c r="AP597" s="2">
        <v>42831</v>
      </c>
      <c r="AQ597" t="s">
        <v>72</v>
      </c>
      <c r="AR597" t="s">
        <v>72</v>
      </c>
      <c r="AS597">
        <v>207</v>
      </c>
      <c r="AT597" s="4">
        <v>42768</v>
      </c>
      <c r="AU597" t="s">
        <v>73</v>
      </c>
      <c r="AV597">
        <v>207</v>
      </c>
      <c r="AW597" s="4">
        <v>42768</v>
      </c>
      <c r="BD597">
        <v>0</v>
      </c>
      <c r="BN597" t="s">
        <v>74</v>
      </c>
    </row>
    <row r="598" spans="1:66">
      <c r="A598">
        <v>100700</v>
      </c>
      <c r="B598" t="s">
        <v>169</v>
      </c>
      <c r="C598" s="1">
        <v>43300101</v>
      </c>
      <c r="D598" t="s">
        <v>67</v>
      </c>
      <c r="H598" t="str">
        <f t="shared" si="70"/>
        <v>STFGPP58D22A783F</v>
      </c>
      <c r="I598" t="str">
        <f t="shared" si="71"/>
        <v>00766740625</v>
      </c>
      <c r="K598" t="str">
        <f>""</f>
        <v/>
      </c>
      <c r="M598" t="s">
        <v>68</v>
      </c>
      <c r="N598" t="str">
        <f t="shared" si="72"/>
        <v>FOR</v>
      </c>
      <c r="O598" t="s">
        <v>69</v>
      </c>
      <c r="P598" t="s">
        <v>75</v>
      </c>
      <c r="Q598">
        <v>2016</v>
      </c>
      <c r="R598" s="4">
        <v>42460</v>
      </c>
      <c r="S598" s="2">
        <v>42577</v>
      </c>
      <c r="T598" s="2">
        <v>42572</v>
      </c>
      <c r="U598" s="4">
        <v>42632</v>
      </c>
      <c r="V598" t="s">
        <v>71</v>
      </c>
      <c r="W598" t="str">
        <f>"               126EL"</f>
        <v xml:space="preserve">               126EL</v>
      </c>
      <c r="X598">
        <v>423.36</v>
      </c>
      <c r="Y598">
        <v>0</v>
      </c>
      <c r="Z598" s="5">
        <v>407.08</v>
      </c>
      <c r="AA598" s="3">
        <v>136</v>
      </c>
      <c r="AB598" s="5">
        <v>55362.879999999997</v>
      </c>
      <c r="AC598">
        <v>407.08</v>
      </c>
      <c r="AD598">
        <v>136</v>
      </c>
      <c r="AE598" s="1">
        <v>55362.879999999997</v>
      </c>
      <c r="AF598">
        <v>0</v>
      </c>
      <c r="AJ598">
        <v>0</v>
      </c>
      <c r="AK598">
        <v>0</v>
      </c>
      <c r="AL598">
        <v>0</v>
      </c>
      <c r="AM598">
        <v>0</v>
      </c>
      <c r="AN598">
        <v>0</v>
      </c>
      <c r="AO598">
        <v>0</v>
      </c>
      <c r="AP598" s="2">
        <v>42831</v>
      </c>
      <c r="AQ598" t="s">
        <v>72</v>
      </c>
      <c r="AR598" t="s">
        <v>72</v>
      </c>
      <c r="AS598">
        <v>207</v>
      </c>
      <c r="AT598" s="4">
        <v>42768</v>
      </c>
      <c r="AU598" t="s">
        <v>73</v>
      </c>
      <c r="AV598">
        <v>207</v>
      </c>
      <c r="AW598" s="4">
        <v>42768</v>
      </c>
      <c r="BD598">
        <v>0</v>
      </c>
      <c r="BN598" t="s">
        <v>74</v>
      </c>
    </row>
    <row r="599" spans="1:66">
      <c r="A599">
        <v>100700</v>
      </c>
      <c r="B599" t="s">
        <v>169</v>
      </c>
      <c r="C599" s="1">
        <v>43300101</v>
      </c>
      <c r="D599" t="s">
        <v>67</v>
      </c>
      <c r="H599" t="str">
        <f t="shared" si="70"/>
        <v>STFGPP58D22A783F</v>
      </c>
      <c r="I599" t="str">
        <f t="shared" si="71"/>
        <v>00766740625</v>
      </c>
      <c r="K599" t="str">
        <f>""</f>
        <v/>
      </c>
      <c r="M599" t="s">
        <v>68</v>
      </c>
      <c r="N599" t="str">
        <f t="shared" si="72"/>
        <v>FOR</v>
      </c>
      <c r="O599" t="s">
        <v>69</v>
      </c>
      <c r="P599" t="s">
        <v>75</v>
      </c>
      <c r="Q599">
        <v>2016</v>
      </c>
      <c r="R599" s="4">
        <v>42461</v>
      </c>
      <c r="S599" s="2">
        <v>42577</v>
      </c>
      <c r="T599" s="2">
        <v>42572</v>
      </c>
      <c r="U599" s="4">
        <v>42632</v>
      </c>
      <c r="V599" t="s">
        <v>71</v>
      </c>
      <c r="W599" t="str">
        <f>"               129EL"</f>
        <v xml:space="preserve">               129EL</v>
      </c>
      <c r="X599">
        <v>36.6</v>
      </c>
      <c r="Y599">
        <v>0</v>
      </c>
      <c r="Z599" s="5">
        <v>30</v>
      </c>
      <c r="AA599" s="3">
        <v>147</v>
      </c>
      <c r="AB599" s="5">
        <v>4410</v>
      </c>
      <c r="AC599">
        <v>30</v>
      </c>
      <c r="AD599">
        <v>147</v>
      </c>
      <c r="AE599" s="1">
        <v>4410</v>
      </c>
      <c r="AF599">
        <v>0</v>
      </c>
      <c r="AJ599">
        <v>0</v>
      </c>
      <c r="AK599">
        <v>0</v>
      </c>
      <c r="AL599">
        <v>0</v>
      </c>
      <c r="AM599">
        <v>0</v>
      </c>
      <c r="AN599">
        <v>0</v>
      </c>
      <c r="AO599">
        <v>0</v>
      </c>
      <c r="AP599" s="2">
        <v>42831</v>
      </c>
      <c r="AQ599" t="s">
        <v>72</v>
      </c>
      <c r="AR599" t="s">
        <v>72</v>
      </c>
      <c r="AS599">
        <v>410</v>
      </c>
      <c r="AT599" s="4">
        <v>42779</v>
      </c>
      <c r="AU599" t="s">
        <v>73</v>
      </c>
      <c r="AV599">
        <v>410</v>
      </c>
      <c r="AW599" s="4">
        <v>42779</v>
      </c>
      <c r="BD599">
        <v>0</v>
      </c>
      <c r="BN599" t="s">
        <v>74</v>
      </c>
    </row>
    <row r="600" spans="1:66">
      <c r="A600">
        <v>100700</v>
      </c>
      <c r="B600" t="s">
        <v>169</v>
      </c>
      <c r="C600" s="1">
        <v>43300101</v>
      </c>
      <c r="D600" t="s">
        <v>67</v>
      </c>
      <c r="H600" t="str">
        <f t="shared" si="70"/>
        <v>STFGPP58D22A783F</v>
      </c>
      <c r="I600" t="str">
        <f t="shared" si="71"/>
        <v>00766740625</v>
      </c>
      <c r="K600" t="str">
        <f>""</f>
        <v/>
      </c>
      <c r="M600" t="s">
        <v>68</v>
      </c>
      <c r="N600" t="str">
        <f t="shared" si="72"/>
        <v>FOR</v>
      </c>
      <c r="O600" t="s">
        <v>69</v>
      </c>
      <c r="P600" t="s">
        <v>75</v>
      </c>
      <c r="Q600">
        <v>2016</v>
      </c>
      <c r="R600" s="4">
        <v>42487</v>
      </c>
      <c r="S600" s="2">
        <v>42577</v>
      </c>
      <c r="T600" s="2">
        <v>42572</v>
      </c>
      <c r="U600" s="4">
        <v>42632</v>
      </c>
      <c r="V600" t="s">
        <v>71</v>
      </c>
      <c r="W600" t="str">
        <f>"               167EL"</f>
        <v xml:space="preserve">               167EL</v>
      </c>
      <c r="X600">
        <v>201.8</v>
      </c>
      <c r="Y600">
        <v>0</v>
      </c>
      <c r="Z600" s="5">
        <v>194.04</v>
      </c>
      <c r="AA600" s="3">
        <v>147</v>
      </c>
      <c r="AB600" s="5">
        <v>28523.88</v>
      </c>
      <c r="AC600">
        <v>194.04</v>
      </c>
      <c r="AD600">
        <v>147</v>
      </c>
      <c r="AE600" s="1">
        <v>28523.88</v>
      </c>
      <c r="AF600">
        <v>0</v>
      </c>
      <c r="AJ600">
        <v>0</v>
      </c>
      <c r="AK600">
        <v>0</v>
      </c>
      <c r="AL600">
        <v>0</v>
      </c>
      <c r="AM600">
        <v>0</v>
      </c>
      <c r="AN600">
        <v>0</v>
      </c>
      <c r="AO600">
        <v>0</v>
      </c>
      <c r="AP600" s="2">
        <v>42831</v>
      </c>
      <c r="AQ600" t="s">
        <v>72</v>
      </c>
      <c r="AR600" t="s">
        <v>72</v>
      </c>
      <c r="AS600">
        <v>410</v>
      </c>
      <c r="AT600" s="4">
        <v>42779</v>
      </c>
      <c r="AU600" t="s">
        <v>73</v>
      </c>
      <c r="AV600">
        <v>410</v>
      </c>
      <c r="AW600" s="4">
        <v>42779</v>
      </c>
      <c r="BD600">
        <v>0</v>
      </c>
      <c r="BN600" t="s">
        <v>74</v>
      </c>
    </row>
    <row r="601" spans="1:66">
      <c r="A601">
        <v>100700</v>
      </c>
      <c r="B601" t="s">
        <v>169</v>
      </c>
      <c r="C601" s="1">
        <v>43300101</v>
      </c>
      <c r="D601" t="s">
        <v>67</v>
      </c>
      <c r="H601" t="str">
        <f t="shared" si="70"/>
        <v>STFGPP58D22A783F</v>
      </c>
      <c r="I601" t="str">
        <f t="shared" si="71"/>
        <v>00766740625</v>
      </c>
      <c r="K601" t="str">
        <f>""</f>
        <v/>
      </c>
      <c r="M601" t="s">
        <v>68</v>
      </c>
      <c r="N601" t="str">
        <f t="shared" si="72"/>
        <v>FOR</v>
      </c>
      <c r="O601" t="s">
        <v>69</v>
      </c>
      <c r="P601" t="s">
        <v>75</v>
      </c>
      <c r="Q601">
        <v>2016</v>
      </c>
      <c r="R601" s="4">
        <v>42487</v>
      </c>
      <c r="S601" s="2">
        <v>42577</v>
      </c>
      <c r="T601" s="2">
        <v>42572</v>
      </c>
      <c r="U601" s="4">
        <v>42632</v>
      </c>
      <c r="V601" t="s">
        <v>71</v>
      </c>
      <c r="W601" t="str">
        <f>"               168EL"</f>
        <v xml:space="preserve">               168EL</v>
      </c>
      <c r="X601">
        <v>65.88</v>
      </c>
      <c r="Y601">
        <v>0</v>
      </c>
      <c r="Z601" s="5">
        <v>54</v>
      </c>
      <c r="AA601" s="3">
        <v>147</v>
      </c>
      <c r="AB601" s="5">
        <v>7938</v>
      </c>
      <c r="AC601">
        <v>54</v>
      </c>
      <c r="AD601">
        <v>147</v>
      </c>
      <c r="AE601" s="1">
        <v>7938</v>
      </c>
      <c r="AF601">
        <v>0</v>
      </c>
      <c r="AJ601">
        <v>0</v>
      </c>
      <c r="AK601">
        <v>0</v>
      </c>
      <c r="AL601">
        <v>0</v>
      </c>
      <c r="AM601">
        <v>0</v>
      </c>
      <c r="AN601">
        <v>0</v>
      </c>
      <c r="AO601">
        <v>0</v>
      </c>
      <c r="AP601" s="2">
        <v>42831</v>
      </c>
      <c r="AQ601" t="s">
        <v>72</v>
      </c>
      <c r="AR601" t="s">
        <v>72</v>
      </c>
      <c r="AS601">
        <v>410</v>
      </c>
      <c r="AT601" s="4">
        <v>42779</v>
      </c>
      <c r="AU601" t="s">
        <v>73</v>
      </c>
      <c r="AV601">
        <v>410</v>
      </c>
      <c r="AW601" s="4">
        <v>42779</v>
      </c>
      <c r="BD601">
        <v>0</v>
      </c>
      <c r="BN601" t="s">
        <v>74</v>
      </c>
    </row>
    <row r="602" spans="1:66">
      <c r="A602">
        <v>100700</v>
      </c>
      <c r="B602" t="s">
        <v>169</v>
      </c>
      <c r="C602" s="1">
        <v>43300101</v>
      </c>
      <c r="D602" t="s">
        <v>67</v>
      </c>
      <c r="H602" t="str">
        <f t="shared" si="70"/>
        <v>STFGPP58D22A783F</v>
      </c>
      <c r="I602" t="str">
        <f t="shared" si="71"/>
        <v>00766740625</v>
      </c>
      <c r="K602" t="str">
        <f>""</f>
        <v/>
      </c>
      <c r="M602" t="s">
        <v>68</v>
      </c>
      <c r="N602" t="str">
        <f t="shared" si="72"/>
        <v>FOR</v>
      </c>
      <c r="O602" t="s">
        <v>69</v>
      </c>
      <c r="P602" t="s">
        <v>75</v>
      </c>
      <c r="Q602">
        <v>2016</v>
      </c>
      <c r="R602" s="4">
        <v>42487</v>
      </c>
      <c r="S602" s="2">
        <v>42577</v>
      </c>
      <c r="T602" s="2">
        <v>42572</v>
      </c>
      <c r="U602" s="4">
        <v>42632</v>
      </c>
      <c r="V602" t="s">
        <v>71</v>
      </c>
      <c r="W602" t="str">
        <f>"               169EL"</f>
        <v xml:space="preserve">               169EL</v>
      </c>
      <c r="X602">
        <v>116.48</v>
      </c>
      <c r="Y602">
        <v>0</v>
      </c>
      <c r="Z602" s="5">
        <v>112</v>
      </c>
      <c r="AA602" s="3">
        <v>147</v>
      </c>
      <c r="AB602" s="5">
        <v>16464</v>
      </c>
      <c r="AC602">
        <v>112</v>
      </c>
      <c r="AD602">
        <v>147</v>
      </c>
      <c r="AE602" s="1">
        <v>16464</v>
      </c>
      <c r="AF602">
        <v>0</v>
      </c>
      <c r="AJ602">
        <v>0</v>
      </c>
      <c r="AK602">
        <v>0</v>
      </c>
      <c r="AL602">
        <v>0</v>
      </c>
      <c r="AM602">
        <v>0</v>
      </c>
      <c r="AN602">
        <v>0</v>
      </c>
      <c r="AO602">
        <v>0</v>
      </c>
      <c r="AP602" s="2">
        <v>42831</v>
      </c>
      <c r="AQ602" t="s">
        <v>72</v>
      </c>
      <c r="AR602" t="s">
        <v>72</v>
      </c>
      <c r="AS602">
        <v>410</v>
      </c>
      <c r="AT602" s="4">
        <v>42779</v>
      </c>
      <c r="AU602" t="s">
        <v>73</v>
      </c>
      <c r="AV602">
        <v>410</v>
      </c>
      <c r="AW602" s="4">
        <v>42779</v>
      </c>
      <c r="BD602">
        <v>0</v>
      </c>
      <c r="BN602" t="s">
        <v>74</v>
      </c>
    </row>
    <row r="603" spans="1:66">
      <c r="A603">
        <v>100700</v>
      </c>
      <c r="B603" t="s">
        <v>169</v>
      </c>
      <c r="C603" s="1">
        <v>43300101</v>
      </c>
      <c r="D603" t="s">
        <v>67</v>
      </c>
      <c r="H603" t="str">
        <f t="shared" si="70"/>
        <v>STFGPP58D22A783F</v>
      </c>
      <c r="I603" t="str">
        <f t="shared" si="71"/>
        <v>00766740625</v>
      </c>
      <c r="K603" t="str">
        <f>""</f>
        <v/>
      </c>
      <c r="M603" t="s">
        <v>68</v>
      </c>
      <c r="N603" t="str">
        <f t="shared" si="72"/>
        <v>FOR</v>
      </c>
      <c r="O603" t="s">
        <v>69</v>
      </c>
      <c r="P603" t="s">
        <v>75</v>
      </c>
      <c r="Q603">
        <v>2016</v>
      </c>
      <c r="R603" s="4">
        <v>42487</v>
      </c>
      <c r="S603" s="2">
        <v>42577</v>
      </c>
      <c r="T603" s="2">
        <v>42572</v>
      </c>
      <c r="U603" s="4">
        <v>42632</v>
      </c>
      <c r="V603" t="s">
        <v>71</v>
      </c>
      <c r="W603" t="str">
        <f>"               170EL"</f>
        <v xml:space="preserve">               170EL</v>
      </c>
      <c r="X603">
        <v>58.56</v>
      </c>
      <c r="Y603">
        <v>0</v>
      </c>
      <c r="Z603" s="5">
        <v>48</v>
      </c>
      <c r="AA603" s="3">
        <v>147</v>
      </c>
      <c r="AB603" s="5">
        <v>7056</v>
      </c>
      <c r="AC603">
        <v>48</v>
      </c>
      <c r="AD603">
        <v>147</v>
      </c>
      <c r="AE603" s="1">
        <v>7056</v>
      </c>
      <c r="AF603">
        <v>0</v>
      </c>
      <c r="AJ603">
        <v>0</v>
      </c>
      <c r="AK603">
        <v>0</v>
      </c>
      <c r="AL603">
        <v>0</v>
      </c>
      <c r="AM603">
        <v>0</v>
      </c>
      <c r="AN603">
        <v>0</v>
      </c>
      <c r="AO603">
        <v>0</v>
      </c>
      <c r="AP603" s="2">
        <v>42831</v>
      </c>
      <c r="AQ603" t="s">
        <v>72</v>
      </c>
      <c r="AR603" t="s">
        <v>72</v>
      </c>
      <c r="AS603">
        <v>410</v>
      </c>
      <c r="AT603" s="4">
        <v>42779</v>
      </c>
      <c r="AU603" t="s">
        <v>73</v>
      </c>
      <c r="AV603">
        <v>410</v>
      </c>
      <c r="AW603" s="4">
        <v>42779</v>
      </c>
      <c r="BD603">
        <v>0</v>
      </c>
      <c r="BN603" t="s">
        <v>74</v>
      </c>
    </row>
    <row r="604" spans="1:66">
      <c r="A604">
        <v>100700</v>
      </c>
      <c r="B604" t="s">
        <v>169</v>
      </c>
      <c r="C604" s="1">
        <v>43300101</v>
      </c>
      <c r="D604" t="s">
        <v>67</v>
      </c>
      <c r="H604" t="str">
        <f t="shared" si="70"/>
        <v>STFGPP58D22A783F</v>
      </c>
      <c r="I604" t="str">
        <f t="shared" si="71"/>
        <v>00766740625</v>
      </c>
      <c r="K604" t="str">
        <f>""</f>
        <v/>
      </c>
      <c r="M604" t="s">
        <v>68</v>
      </c>
      <c r="N604" t="str">
        <f t="shared" si="72"/>
        <v>FOR</v>
      </c>
      <c r="O604" t="s">
        <v>69</v>
      </c>
      <c r="P604" t="s">
        <v>75</v>
      </c>
      <c r="Q604">
        <v>2016</v>
      </c>
      <c r="R604" s="4">
        <v>42489</v>
      </c>
      <c r="S604" s="2">
        <v>42577</v>
      </c>
      <c r="T604" s="2">
        <v>42572</v>
      </c>
      <c r="U604" s="4">
        <v>42632</v>
      </c>
      <c r="V604" t="s">
        <v>71</v>
      </c>
      <c r="W604" t="str">
        <f>"               174EL"</f>
        <v xml:space="preserve">               174EL</v>
      </c>
      <c r="X604">
        <v>393.99</v>
      </c>
      <c r="Y604">
        <v>0</v>
      </c>
      <c r="Z604" s="5">
        <v>378.84</v>
      </c>
      <c r="AA604" s="3">
        <v>147</v>
      </c>
      <c r="AB604" s="5">
        <v>55689.48</v>
      </c>
      <c r="AC604">
        <v>378.84</v>
      </c>
      <c r="AD604">
        <v>147</v>
      </c>
      <c r="AE604" s="1">
        <v>55689.48</v>
      </c>
      <c r="AF604">
        <v>0</v>
      </c>
      <c r="AJ604">
        <v>0</v>
      </c>
      <c r="AK604">
        <v>0</v>
      </c>
      <c r="AL604">
        <v>0</v>
      </c>
      <c r="AM604">
        <v>0</v>
      </c>
      <c r="AN604">
        <v>0</v>
      </c>
      <c r="AO604">
        <v>0</v>
      </c>
      <c r="AP604" s="2">
        <v>42831</v>
      </c>
      <c r="AQ604" t="s">
        <v>72</v>
      </c>
      <c r="AR604" t="s">
        <v>72</v>
      </c>
      <c r="AS604">
        <v>410</v>
      </c>
      <c r="AT604" s="4">
        <v>42779</v>
      </c>
      <c r="AU604" t="s">
        <v>73</v>
      </c>
      <c r="AV604">
        <v>410</v>
      </c>
      <c r="AW604" s="4">
        <v>42779</v>
      </c>
      <c r="BD604">
        <v>0</v>
      </c>
      <c r="BN604" t="s">
        <v>74</v>
      </c>
    </row>
    <row r="605" spans="1:66">
      <c r="A605">
        <v>100700</v>
      </c>
      <c r="B605" t="s">
        <v>169</v>
      </c>
      <c r="C605" s="1">
        <v>43300101</v>
      </c>
      <c r="D605" t="s">
        <v>67</v>
      </c>
      <c r="H605" t="str">
        <f t="shared" si="70"/>
        <v>STFGPP58D22A783F</v>
      </c>
      <c r="I605" t="str">
        <f t="shared" si="71"/>
        <v>00766740625</v>
      </c>
      <c r="K605" t="str">
        <f>""</f>
        <v/>
      </c>
      <c r="M605" t="s">
        <v>68</v>
      </c>
      <c r="N605" t="str">
        <f t="shared" si="72"/>
        <v>FOR</v>
      </c>
      <c r="O605" t="s">
        <v>69</v>
      </c>
      <c r="P605" t="s">
        <v>75</v>
      </c>
      <c r="Q605">
        <v>2016</v>
      </c>
      <c r="R605" s="4">
        <v>42489</v>
      </c>
      <c r="S605" s="2">
        <v>42577</v>
      </c>
      <c r="T605" s="2">
        <v>42572</v>
      </c>
      <c r="U605" s="4">
        <v>42632</v>
      </c>
      <c r="V605" t="s">
        <v>71</v>
      </c>
      <c r="W605" t="str">
        <f>"               175EL"</f>
        <v xml:space="preserve">               175EL</v>
      </c>
      <c r="X605">
        <v>297.64999999999998</v>
      </c>
      <c r="Y605">
        <v>0</v>
      </c>
      <c r="Z605" s="5">
        <v>286.2</v>
      </c>
      <c r="AA605" s="3">
        <v>147</v>
      </c>
      <c r="AB605" s="5">
        <v>42071.4</v>
      </c>
      <c r="AC605">
        <v>286.2</v>
      </c>
      <c r="AD605">
        <v>147</v>
      </c>
      <c r="AE605" s="1">
        <v>42071.4</v>
      </c>
      <c r="AF605">
        <v>0</v>
      </c>
      <c r="AJ605">
        <v>0</v>
      </c>
      <c r="AK605">
        <v>0</v>
      </c>
      <c r="AL605">
        <v>0</v>
      </c>
      <c r="AM605">
        <v>0</v>
      </c>
      <c r="AN605">
        <v>0</v>
      </c>
      <c r="AO605">
        <v>0</v>
      </c>
      <c r="AP605" s="2">
        <v>42831</v>
      </c>
      <c r="AQ605" t="s">
        <v>72</v>
      </c>
      <c r="AR605" t="s">
        <v>72</v>
      </c>
      <c r="AS605">
        <v>410</v>
      </c>
      <c r="AT605" s="4">
        <v>42779</v>
      </c>
      <c r="AU605" t="s">
        <v>73</v>
      </c>
      <c r="AV605">
        <v>410</v>
      </c>
      <c r="AW605" s="4">
        <v>42779</v>
      </c>
      <c r="BD605">
        <v>0</v>
      </c>
      <c r="BN605" t="s">
        <v>74</v>
      </c>
    </row>
    <row r="606" spans="1:66">
      <c r="A606">
        <v>100700</v>
      </c>
      <c r="B606" t="s">
        <v>169</v>
      </c>
      <c r="C606" s="1">
        <v>43300101</v>
      </c>
      <c r="D606" t="s">
        <v>67</v>
      </c>
      <c r="H606" t="str">
        <f t="shared" si="70"/>
        <v>STFGPP58D22A783F</v>
      </c>
      <c r="I606" t="str">
        <f t="shared" si="71"/>
        <v>00766740625</v>
      </c>
      <c r="K606" t="str">
        <f>""</f>
        <v/>
      </c>
      <c r="M606" t="s">
        <v>68</v>
      </c>
      <c r="N606" t="str">
        <f t="shared" si="72"/>
        <v>FOR</v>
      </c>
      <c r="O606" t="s">
        <v>69</v>
      </c>
      <c r="P606" t="s">
        <v>75</v>
      </c>
      <c r="Q606">
        <v>2016</v>
      </c>
      <c r="R606" s="4">
        <v>42489</v>
      </c>
      <c r="S606" s="2">
        <v>42577</v>
      </c>
      <c r="T606" s="2">
        <v>42572</v>
      </c>
      <c r="U606" s="4">
        <v>42632</v>
      </c>
      <c r="V606" t="s">
        <v>71</v>
      </c>
      <c r="W606" t="str">
        <f>"               176EL"</f>
        <v xml:space="preserve">               176EL</v>
      </c>
      <c r="X606">
        <v>285.58</v>
      </c>
      <c r="Y606">
        <v>0</v>
      </c>
      <c r="Z606" s="5">
        <v>274.60000000000002</v>
      </c>
      <c r="AA606" s="3">
        <v>147</v>
      </c>
      <c r="AB606" s="5">
        <v>40366.199999999997</v>
      </c>
      <c r="AC606">
        <v>274.60000000000002</v>
      </c>
      <c r="AD606">
        <v>147</v>
      </c>
      <c r="AE606" s="1">
        <v>40366.199999999997</v>
      </c>
      <c r="AF606">
        <v>0</v>
      </c>
      <c r="AJ606">
        <v>0</v>
      </c>
      <c r="AK606">
        <v>0</v>
      </c>
      <c r="AL606">
        <v>0</v>
      </c>
      <c r="AM606">
        <v>0</v>
      </c>
      <c r="AN606">
        <v>0</v>
      </c>
      <c r="AO606">
        <v>0</v>
      </c>
      <c r="AP606" s="2">
        <v>42831</v>
      </c>
      <c r="AQ606" t="s">
        <v>72</v>
      </c>
      <c r="AR606" t="s">
        <v>72</v>
      </c>
      <c r="AS606">
        <v>410</v>
      </c>
      <c r="AT606" s="4">
        <v>42779</v>
      </c>
      <c r="AU606" t="s">
        <v>73</v>
      </c>
      <c r="AV606">
        <v>410</v>
      </c>
      <c r="AW606" s="4">
        <v>42779</v>
      </c>
      <c r="BD606">
        <v>0</v>
      </c>
      <c r="BN606" t="s">
        <v>74</v>
      </c>
    </row>
    <row r="607" spans="1:66">
      <c r="A607">
        <v>100700</v>
      </c>
      <c r="B607" t="s">
        <v>169</v>
      </c>
      <c r="C607" s="1">
        <v>43300101</v>
      </c>
      <c r="D607" t="s">
        <v>67</v>
      </c>
      <c r="H607" t="str">
        <f t="shared" si="70"/>
        <v>STFGPP58D22A783F</v>
      </c>
      <c r="I607" t="str">
        <f t="shared" si="71"/>
        <v>00766740625</v>
      </c>
      <c r="K607" t="str">
        <f>""</f>
        <v/>
      </c>
      <c r="M607" t="s">
        <v>68</v>
      </c>
      <c r="N607" t="str">
        <f t="shared" si="72"/>
        <v>FOR</v>
      </c>
      <c r="O607" t="s">
        <v>69</v>
      </c>
      <c r="P607" t="s">
        <v>75</v>
      </c>
      <c r="Q607">
        <v>2016</v>
      </c>
      <c r="R607" s="4">
        <v>42489</v>
      </c>
      <c r="S607" s="2">
        <v>42577</v>
      </c>
      <c r="T607" s="2">
        <v>42572</v>
      </c>
      <c r="U607" s="4">
        <v>42632</v>
      </c>
      <c r="V607" t="s">
        <v>71</v>
      </c>
      <c r="W607" t="str">
        <f>"               177EL"</f>
        <v xml:space="preserve">               177EL</v>
      </c>
      <c r="X607">
        <v>73.2</v>
      </c>
      <c r="Y607">
        <v>0</v>
      </c>
      <c r="Z607" s="5">
        <v>60</v>
      </c>
      <c r="AA607" s="3">
        <v>147</v>
      </c>
      <c r="AB607" s="5">
        <v>8820</v>
      </c>
      <c r="AC607">
        <v>60</v>
      </c>
      <c r="AD607">
        <v>147</v>
      </c>
      <c r="AE607" s="1">
        <v>8820</v>
      </c>
      <c r="AF607">
        <v>0</v>
      </c>
      <c r="AJ607">
        <v>0</v>
      </c>
      <c r="AK607">
        <v>0</v>
      </c>
      <c r="AL607">
        <v>0</v>
      </c>
      <c r="AM607">
        <v>0</v>
      </c>
      <c r="AN607">
        <v>0</v>
      </c>
      <c r="AO607">
        <v>0</v>
      </c>
      <c r="AP607" s="2">
        <v>42831</v>
      </c>
      <c r="AQ607" t="s">
        <v>72</v>
      </c>
      <c r="AR607" t="s">
        <v>72</v>
      </c>
      <c r="AS607">
        <v>410</v>
      </c>
      <c r="AT607" s="4">
        <v>42779</v>
      </c>
      <c r="AU607" t="s">
        <v>73</v>
      </c>
      <c r="AV607">
        <v>410</v>
      </c>
      <c r="AW607" s="4">
        <v>42779</v>
      </c>
      <c r="BD607">
        <v>0</v>
      </c>
      <c r="BN607" t="s">
        <v>74</v>
      </c>
    </row>
    <row r="608" spans="1:66">
      <c r="A608">
        <v>100700</v>
      </c>
      <c r="B608" t="s">
        <v>169</v>
      </c>
      <c r="C608" s="1">
        <v>43300101</v>
      </c>
      <c r="D608" t="s">
        <v>67</v>
      </c>
      <c r="H608" t="str">
        <f t="shared" si="70"/>
        <v>STFGPP58D22A783F</v>
      </c>
      <c r="I608" t="str">
        <f t="shared" si="71"/>
        <v>00766740625</v>
      </c>
      <c r="K608" t="str">
        <f>""</f>
        <v/>
      </c>
      <c r="M608" t="s">
        <v>68</v>
      </c>
      <c r="N608" t="str">
        <f t="shared" si="72"/>
        <v>FOR</v>
      </c>
      <c r="O608" t="s">
        <v>69</v>
      </c>
      <c r="P608" t="s">
        <v>75</v>
      </c>
      <c r="Q608">
        <v>2016</v>
      </c>
      <c r="R608" s="4">
        <v>42503</v>
      </c>
      <c r="S608" s="2">
        <v>42577</v>
      </c>
      <c r="T608" s="2">
        <v>42572</v>
      </c>
      <c r="U608" s="4">
        <v>42632</v>
      </c>
      <c r="V608" t="s">
        <v>71</v>
      </c>
      <c r="W608" t="str">
        <f>"               189EL"</f>
        <v xml:space="preserve">               189EL</v>
      </c>
      <c r="X608">
        <v>58.56</v>
      </c>
      <c r="Y608">
        <v>0</v>
      </c>
      <c r="Z608" s="5">
        <v>48</v>
      </c>
      <c r="AA608" s="3">
        <v>161</v>
      </c>
      <c r="AB608" s="5">
        <v>7728</v>
      </c>
      <c r="AC608">
        <v>48</v>
      </c>
      <c r="AD608">
        <v>161</v>
      </c>
      <c r="AE608" s="1">
        <v>7728</v>
      </c>
      <c r="AF608">
        <v>0</v>
      </c>
      <c r="AJ608">
        <v>0</v>
      </c>
      <c r="AK608">
        <v>0</v>
      </c>
      <c r="AL608">
        <v>0</v>
      </c>
      <c r="AM608">
        <v>0</v>
      </c>
      <c r="AN608">
        <v>0</v>
      </c>
      <c r="AO608">
        <v>0</v>
      </c>
      <c r="AP608" s="2">
        <v>42831</v>
      </c>
      <c r="AQ608" t="s">
        <v>72</v>
      </c>
      <c r="AR608" t="s">
        <v>72</v>
      </c>
      <c r="AS608">
        <v>607</v>
      </c>
      <c r="AT608" s="4">
        <v>42793</v>
      </c>
      <c r="AU608" t="s">
        <v>73</v>
      </c>
      <c r="AV608">
        <v>607</v>
      </c>
      <c r="AW608" s="4">
        <v>42793</v>
      </c>
      <c r="BD608">
        <v>0</v>
      </c>
      <c r="BN608" t="s">
        <v>74</v>
      </c>
    </row>
    <row r="609" spans="1:66">
      <c r="A609">
        <v>100700</v>
      </c>
      <c r="B609" t="s">
        <v>169</v>
      </c>
      <c r="C609" s="1">
        <v>43300101</v>
      </c>
      <c r="D609" t="s">
        <v>67</v>
      </c>
      <c r="H609" t="str">
        <f t="shared" si="70"/>
        <v>STFGPP58D22A783F</v>
      </c>
      <c r="I609" t="str">
        <f t="shared" si="71"/>
        <v>00766740625</v>
      </c>
      <c r="K609" t="str">
        <f>""</f>
        <v/>
      </c>
      <c r="M609" t="s">
        <v>68</v>
      </c>
      <c r="N609" t="str">
        <f t="shared" si="72"/>
        <v>FOR</v>
      </c>
      <c r="O609" t="s">
        <v>69</v>
      </c>
      <c r="P609" t="s">
        <v>75</v>
      </c>
      <c r="Q609">
        <v>2016</v>
      </c>
      <c r="R609" s="4">
        <v>42503</v>
      </c>
      <c r="S609" s="2">
        <v>42577</v>
      </c>
      <c r="T609" s="2">
        <v>42572</v>
      </c>
      <c r="U609" s="4">
        <v>42632</v>
      </c>
      <c r="V609" t="s">
        <v>71</v>
      </c>
      <c r="W609" t="str">
        <f>"               190EL"</f>
        <v xml:space="preserve">               190EL</v>
      </c>
      <c r="X609">
        <v>65.88</v>
      </c>
      <c r="Y609">
        <v>0</v>
      </c>
      <c r="Z609" s="5">
        <v>54</v>
      </c>
      <c r="AA609" s="3">
        <v>161</v>
      </c>
      <c r="AB609" s="5">
        <v>8694</v>
      </c>
      <c r="AC609">
        <v>54</v>
      </c>
      <c r="AD609">
        <v>161</v>
      </c>
      <c r="AE609" s="1">
        <v>8694</v>
      </c>
      <c r="AF609">
        <v>0</v>
      </c>
      <c r="AJ609">
        <v>0</v>
      </c>
      <c r="AK609">
        <v>0</v>
      </c>
      <c r="AL609">
        <v>0</v>
      </c>
      <c r="AM609">
        <v>0</v>
      </c>
      <c r="AN609">
        <v>0</v>
      </c>
      <c r="AO609">
        <v>0</v>
      </c>
      <c r="AP609" s="2">
        <v>42831</v>
      </c>
      <c r="AQ609" t="s">
        <v>72</v>
      </c>
      <c r="AR609" t="s">
        <v>72</v>
      </c>
      <c r="AS609">
        <v>607</v>
      </c>
      <c r="AT609" s="4">
        <v>42793</v>
      </c>
      <c r="AU609" t="s">
        <v>73</v>
      </c>
      <c r="AV609">
        <v>607</v>
      </c>
      <c r="AW609" s="4">
        <v>42793</v>
      </c>
      <c r="BD609">
        <v>0</v>
      </c>
      <c r="BN609" t="s">
        <v>74</v>
      </c>
    </row>
    <row r="610" spans="1:66">
      <c r="A610">
        <v>100700</v>
      </c>
      <c r="B610" t="s">
        <v>169</v>
      </c>
      <c r="C610" s="1">
        <v>43300101</v>
      </c>
      <c r="D610" t="s">
        <v>67</v>
      </c>
      <c r="H610" t="str">
        <f t="shared" si="70"/>
        <v>STFGPP58D22A783F</v>
      </c>
      <c r="I610" t="str">
        <f t="shared" si="71"/>
        <v>00766740625</v>
      </c>
      <c r="K610" t="str">
        <f>""</f>
        <v/>
      </c>
      <c r="M610" t="s">
        <v>68</v>
      </c>
      <c r="N610" t="str">
        <f t="shared" si="72"/>
        <v>FOR</v>
      </c>
      <c r="O610" t="s">
        <v>69</v>
      </c>
      <c r="P610" t="s">
        <v>75</v>
      </c>
      <c r="Q610">
        <v>2016</v>
      </c>
      <c r="R610" s="4">
        <v>42521</v>
      </c>
      <c r="S610" s="2">
        <v>42577</v>
      </c>
      <c r="T610" s="2">
        <v>42572</v>
      </c>
      <c r="U610" s="4">
        <v>42632</v>
      </c>
      <c r="V610" t="s">
        <v>71</v>
      </c>
      <c r="W610" t="str">
        <f>"               208EL"</f>
        <v xml:space="preserve">               208EL</v>
      </c>
      <c r="X610">
        <v>322.32</v>
      </c>
      <c r="Y610">
        <v>0</v>
      </c>
      <c r="Z610" s="5">
        <v>309.92</v>
      </c>
      <c r="AA610" s="3">
        <v>161</v>
      </c>
      <c r="AB610" s="5">
        <v>49897.120000000003</v>
      </c>
      <c r="AC610">
        <v>309.92</v>
      </c>
      <c r="AD610">
        <v>161</v>
      </c>
      <c r="AE610" s="1">
        <v>49897.120000000003</v>
      </c>
      <c r="AF610">
        <v>0</v>
      </c>
      <c r="AJ610">
        <v>0</v>
      </c>
      <c r="AK610">
        <v>0</v>
      </c>
      <c r="AL610">
        <v>0</v>
      </c>
      <c r="AM610">
        <v>0</v>
      </c>
      <c r="AN610">
        <v>0</v>
      </c>
      <c r="AO610">
        <v>0</v>
      </c>
      <c r="AP610" s="2">
        <v>42831</v>
      </c>
      <c r="AQ610" t="s">
        <v>72</v>
      </c>
      <c r="AR610" t="s">
        <v>72</v>
      </c>
      <c r="AS610">
        <v>607</v>
      </c>
      <c r="AT610" s="4">
        <v>42793</v>
      </c>
      <c r="AU610" t="s">
        <v>73</v>
      </c>
      <c r="AV610">
        <v>607</v>
      </c>
      <c r="AW610" s="4">
        <v>42793</v>
      </c>
      <c r="BD610">
        <v>0</v>
      </c>
      <c r="BN610" t="s">
        <v>74</v>
      </c>
    </row>
    <row r="611" spans="1:66">
      <c r="A611">
        <v>100700</v>
      </c>
      <c r="B611" t="s">
        <v>169</v>
      </c>
      <c r="C611" s="1">
        <v>43300101</v>
      </c>
      <c r="D611" t="s">
        <v>67</v>
      </c>
      <c r="H611" t="str">
        <f t="shared" si="70"/>
        <v>STFGPP58D22A783F</v>
      </c>
      <c r="I611" t="str">
        <f t="shared" si="71"/>
        <v>00766740625</v>
      </c>
      <c r="K611" t="str">
        <f>""</f>
        <v/>
      </c>
      <c r="M611" t="s">
        <v>68</v>
      </c>
      <c r="N611" t="str">
        <f t="shared" si="72"/>
        <v>FOR</v>
      </c>
      <c r="O611" t="s">
        <v>69</v>
      </c>
      <c r="P611" t="s">
        <v>75</v>
      </c>
      <c r="Q611">
        <v>2016</v>
      </c>
      <c r="R611" s="4">
        <v>42521</v>
      </c>
      <c r="S611" s="2">
        <v>42577</v>
      </c>
      <c r="T611" s="2">
        <v>42572</v>
      </c>
      <c r="U611" s="4">
        <v>42632</v>
      </c>
      <c r="V611" t="s">
        <v>71</v>
      </c>
      <c r="W611" t="str">
        <f>"               209EL"</f>
        <v xml:space="preserve">               209EL</v>
      </c>
      <c r="X611">
        <v>566.97</v>
      </c>
      <c r="Y611">
        <v>0</v>
      </c>
      <c r="Z611" s="5">
        <v>545.16</v>
      </c>
      <c r="AA611" s="3">
        <v>161</v>
      </c>
      <c r="AB611" s="5">
        <v>87770.76</v>
      </c>
      <c r="AC611">
        <v>545.16</v>
      </c>
      <c r="AD611">
        <v>161</v>
      </c>
      <c r="AE611" s="1">
        <v>87770.76</v>
      </c>
      <c r="AF611">
        <v>0</v>
      </c>
      <c r="AJ611">
        <v>0</v>
      </c>
      <c r="AK611">
        <v>0</v>
      </c>
      <c r="AL611">
        <v>0</v>
      </c>
      <c r="AM611">
        <v>0</v>
      </c>
      <c r="AN611">
        <v>0</v>
      </c>
      <c r="AO611">
        <v>0</v>
      </c>
      <c r="AP611" s="2">
        <v>42831</v>
      </c>
      <c r="AQ611" t="s">
        <v>72</v>
      </c>
      <c r="AR611" t="s">
        <v>72</v>
      </c>
      <c r="AS611">
        <v>607</v>
      </c>
      <c r="AT611" s="4">
        <v>42793</v>
      </c>
      <c r="AU611" t="s">
        <v>73</v>
      </c>
      <c r="AV611">
        <v>607</v>
      </c>
      <c r="AW611" s="4">
        <v>42793</v>
      </c>
      <c r="BD611">
        <v>0</v>
      </c>
      <c r="BN611" t="s">
        <v>74</v>
      </c>
    </row>
    <row r="612" spans="1:66">
      <c r="A612">
        <v>100703</v>
      </c>
      <c r="B612" t="s">
        <v>170</v>
      </c>
      <c r="C612" s="1">
        <v>43300101</v>
      </c>
      <c r="D612" t="s">
        <v>67</v>
      </c>
      <c r="H612" t="str">
        <f t="shared" ref="H612:I623" si="73">"05501420961"</f>
        <v>05501420961</v>
      </c>
      <c r="I612" t="str">
        <f t="shared" si="73"/>
        <v>05501420961</v>
      </c>
      <c r="K612" t="str">
        <f>""</f>
        <v/>
      </c>
      <c r="M612" t="s">
        <v>68</v>
      </c>
      <c r="N612" t="str">
        <f t="shared" si="72"/>
        <v>FOR</v>
      </c>
      <c r="O612" t="s">
        <v>69</v>
      </c>
      <c r="P612" t="s">
        <v>75</v>
      </c>
      <c r="Q612">
        <v>2016</v>
      </c>
      <c r="R612" s="4">
        <v>42440</v>
      </c>
      <c r="S612" s="2">
        <v>42446</v>
      </c>
      <c r="T612" s="2">
        <v>42444</v>
      </c>
      <c r="U612" s="4">
        <v>42504</v>
      </c>
      <c r="V612" t="s">
        <v>71</v>
      </c>
      <c r="W612" t="str">
        <f>"          1608103901"</f>
        <v xml:space="preserve">          1608103901</v>
      </c>
      <c r="X612" s="1">
        <v>2042.48</v>
      </c>
      <c r="Y612">
        <v>0</v>
      </c>
      <c r="Z612" s="5">
        <v>1856.8</v>
      </c>
      <c r="AA612" s="3">
        <v>264</v>
      </c>
      <c r="AB612" s="5">
        <v>490195.20000000001</v>
      </c>
      <c r="AC612" s="1">
        <v>1856.8</v>
      </c>
      <c r="AD612">
        <v>264</v>
      </c>
      <c r="AE612" s="1">
        <v>490195.20000000001</v>
      </c>
      <c r="AF612">
        <v>0</v>
      </c>
      <c r="AJ612">
        <v>0</v>
      </c>
      <c r="AK612">
        <v>0</v>
      </c>
      <c r="AL612">
        <v>0</v>
      </c>
      <c r="AM612">
        <v>0</v>
      </c>
      <c r="AN612">
        <v>0</v>
      </c>
      <c r="AO612">
        <v>0</v>
      </c>
      <c r="AP612" s="2">
        <v>42831</v>
      </c>
      <c r="AQ612" t="s">
        <v>72</v>
      </c>
      <c r="AR612" t="s">
        <v>72</v>
      </c>
      <c r="AS612">
        <v>209</v>
      </c>
      <c r="AT612" s="4">
        <v>42768</v>
      </c>
      <c r="AU612" t="s">
        <v>73</v>
      </c>
      <c r="AV612">
        <v>209</v>
      </c>
      <c r="AW612" s="4">
        <v>42768</v>
      </c>
      <c r="BD612">
        <v>0</v>
      </c>
      <c r="BN612" t="s">
        <v>74</v>
      </c>
    </row>
    <row r="613" spans="1:66">
      <c r="A613">
        <v>100703</v>
      </c>
      <c r="B613" t="s">
        <v>170</v>
      </c>
      <c r="C613" s="1">
        <v>43300101</v>
      </c>
      <c r="D613" t="s">
        <v>67</v>
      </c>
      <c r="H613" t="str">
        <f t="shared" si="73"/>
        <v>05501420961</v>
      </c>
      <c r="I613" t="str">
        <f t="shared" si="73"/>
        <v>05501420961</v>
      </c>
      <c r="K613" t="str">
        <f>""</f>
        <v/>
      </c>
      <c r="M613" t="s">
        <v>68</v>
      </c>
      <c r="N613" t="str">
        <f t="shared" si="72"/>
        <v>FOR</v>
      </c>
      <c r="O613" t="s">
        <v>69</v>
      </c>
      <c r="P613" t="s">
        <v>75</v>
      </c>
      <c r="Q613">
        <v>2016</v>
      </c>
      <c r="R613" s="4">
        <v>42446</v>
      </c>
      <c r="S613" s="2">
        <v>42447</v>
      </c>
      <c r="T613" s="2">
        <v>42447</v>
      </c>
      <c r="U613" s="4">
        <v>42507</v>
      </c>
      <c r="V613" t="s">
        <v>71</v>
      </c>
      <c r="W613" t="str">
        <f>"          1608104309"</f>
        <v xml:space="preserve">          1608104309</v>
      </c>
      <c r="X613" s="1">
        <v>1138.5</v>
      </c>
      <c r="Y613">
        <v>0</v>
      </c>
      <c r="Z613" s="5">
        <v>1035</v>
      </c>
      <c r="AA613" s="3">
        <v>261</v>
      </c>
      <c r="AB613" s="5">
        <v>270135</v>
      </c>
      <c r="AC613" s="1">
        <v>1035</v>
      </c>
      <c r="AD613">
        <v>261</v>
      </c>
      <c r="AE613" s="1">
        <v>270135</v>
      </c>
      <c r="AF613">
        <v>0</v>
      </c>
      <c r="AJ613">
        <v>0</v>
      </c>
      <c r="AK613">
        <v>0</v>
      </c>
      <c r="AL613">
        <v>0</v>
      </c>
      <c r="AM613">
        <v>0</v>
      </c>
      <c r="AN613">
        <v>0</v>
      </c>
      <c r="AO613">
        <v>0</v>
      </c>
      <c r="AP613" s="2">
        <v>42831</v>
      </c>
      <c r="AQ613" t="s">
        <v>72</v>
      </c>
      <c r="AR613" t="s">
        <v>72</v>
      </c>
      <c r="AS613">
        <v>209</v>
      </c>
      <c r="AT613" s="4">
        <v>42768</v>
      </c>
      <c r="AU613" t="s">
        <v>73</v>
      </c>
      <c r="AV613">
        <v>209</v>
      </c>
      <c r="AW613" s="4">
        <v>42768</v>
      </c>
      <c r="BD613">
        <v>0</v>
      </c>
      <c r="BN613" t="s">
        <v>74</v>
      </c>
    </row>
    <row r="614" spans="1:66">
      <c r="A614">
        <v>100703</v>
      </c>
      <c r="B614" t="s">
        <v>170</v>
      </c>
      <c r="C614" s="1">
        <v>43300101</v>
      </c>
      <c r="D614" t="s">
        <v>67</v>
      </c>
      <c r="H614" t="str">
        <f t="shared" si="73"/>
        <v>05501420961</v>
      </c>
      <c r="I614" t="str">
        <f t="shared" si="73"/>
        <v>05501420961</v>
      </c>
      <c r="K614" t="str">
        <f>""</f>
        <v/>
      </c>
      <c r="M614" t="s">
        <v>68</v>
      </c>
      <c r="N614" t="str">
        <f t="shared" si="72"/>
        <v>FOR</v>
      </c>
      <c r="O614" t="s">
        <v>69</v>
      </c>
      <c r="P614" t="s">
        <v>75</v>
      </c>
      <c r="Q614">
        <v>2016</v>
      </c>
      <c r="R614" s="4">
        <v>42450</v>
      </c>
      <c r="S614" s="2">
        <v>42452</v>
      </c>
      <c r="T614" s="2">
        <v>42451</v>
      </c>
      <c r="U614" s="4">
        <v>42511</v>
      </c>
      <c r="V614" t="s">
        <v>71</v>
      </c>
      <c r="W614" t="str">
        <f>"          1608104526"</f>
        <v xml:space="preserve">          1608104526</v>
      </c>
      <c r="X614">
        <v>989.73</v>
      </c>
      <c r="Y614">
        <v>0</v>
      </c>
      <c r="Z614" s="5">
        <v>899.75</v>
      </c>
      <c r="AA614" s="3">
        <v>257</v>
      </c>
      <c r="AB614" s="5">
        <v>231235.75</v>
      </c>
      <c r="AC614">
        <v>899.75</v>
      </c>
      <c r="AD614">
        <v>257</v>
      </c>
      <c r="AE614" s="1">
        <v>231235.75</v>
      </c>
      <c r="AF614">
        <v>0</v>
      </c>
      <c r="AJ614">
        <v>0</v>
      </c>
      <c r="AK614">
        <v>0</v>
      </c>
      <c r="AL614">
        <v>0</v>
      </c>
      <c r="AM614">
        <v>0</v>
      </c>
      <c r="AN614">
        <v>0</v>
      </c>
      <c r="AO614">
        <v>0</v>
      </c>
      <c r="AP614" s="2">
        <v>42831</v>
      </c>
      <c r="AQ614" t="s">
        <v>72</v>
      </c>
      <c r="AR614" t="s">
        <v>72</v>
      </c>
      <c r="AS614">
        <v>209</v>
      </c>
      <c r="AT614" s="4">
        <v>42768</v>
      </c>
      <c r="AU614" t="s">
        <v>73</v>
      </c>
      <c r="AV614">
        <v>209</v>
      </c>
      <c r="AW614" s="4">
        <v>42768</v>
      </c>
      <c r="BD614">
        <v>0</v>
      </c>
      <c r="BN614" t="s">
        <v>74</v>
      </c>
    </row>
    <row r="615" spans="1:66">
      <c r="A615">
        <v>100703</v>
      </c>
      <c r="B615" t="s">
        <v>170</v>
      </c>
      <c r="C615" s="1">
        <v>43300101</v>
      </c>
      <c r="D615" t="s">
        <v>67</v>
      </c>
      <c r="H615" t="str">
        <f t="shared" si="73"/>
        <v>05501420961</v>
      </c>
      <c r="I615" t="str">
        <f t="shared" si="73"/>
        <v>05501420961</v>
      </c>
      <c r="K615" t="str">
        <f>""</f>
        <v/>
      </c>
      <c r="M615" t="s">
        <v>68</v>
      </c>
      <c r="N615" t="str">
        <f t="shared" si="72"/>
        <v>FOR</v>
      </c>
      <c r="O615" t="s">
        <v>69</v>
      </c>
      <c r="P615" t="s">
        <v>75</v>
      </c>
      <c r="Q615">
        <v>2016</v>
      </c>
      <c r="R615" s="4">
        <v>42458</v>
      </c>
      <c r="S615" s="2">
        <v>42464</v>
      </c>
      <c r="T615" s="2">
        <v>42459</v>
      </c>
      <c r="U615" s="4">
        <v>42519</v>
      </c>
      <c r="V615" t="s">
        <v>71</v>
      </c>
      <c r="W615" t="str">
        <f>"          1608105182"</f>
        <v xml:space="preserve">          1608105182</v>
      </c>
      <c r="X615" s="1">
        <v>2062.5</v>
      </c>
      <c r="Y615">
        <v>0</v>
      </c>
      <c r="Z615" s="5">
        <v>1875</v>
      </c>
      <c r="AA615" s="3">
        <v>249</v>
      </c>
      <c r="AB615" s="5">
        <v>466875</v>
      </c>
      <c r="AC615" s="1">
        <v>1875</v>
      </c>
      <c r="AD615">
        <v>249</v>
      </c>
      <c r="AE615" s="1">
        <v>466875</v>
      </c>
      <c r="AF615">
        <v>0</v>
      </c>
      <c r="AJ615">
        <v>0</v>
      </c>
      <c r="AK615">
        <v>0</v>
      </c>
      <c r="AL615">
        <v>0</v>
      </c>
      <c r="AM615">
        <v>0</v>
      </c>
      <c r="AN615">
        <v>0</v>
      </c>
      <c r="AO615">
        <v>0</v>
      </c>
      <c r="AP615" s="2">
        <v>42831</v>
      </c>
      <c r="AQ615" t="s">
        <v>72</v>
      </c>
      <c r="AR615" t="s">
        <v>72</v>
      </c>
      <c r="AS615">
        <v>209</v>
      </c>
      <c r="AT615" s="4">
        <v>42768</v>
      </c>
      <c r="AU615" t="s">
        <v>73</v>
      </c>
      <c r="AV615">
        <v>209</v>
      </c>
      <c r="AW615" s="4">
        <v>42768</v>
      </c>
      <c r="BD615">
        <v>0</v>
      </c>
      <c r="BN615" t="s">
        <v>74</v>
      </c>
    </row>
    <row r="616" spans="1:66">
      <c r="A616">
        <v>100703</v>
      </c>
      <c r="B616" t="s">
        <v>170</v>
      </c>
      <c r="C616" s="1">
        <v>43300101</v>
      </c>
      <c r="D616" t="s">
        <v>67</v>
      </c>
      <c r="H616" t="str">
        <f t="shared" si="73"/>
        <v>05501420961</v>
      </c>
      <c r="I616" t="str">
        <f t="shared" si="73"/>
        <v>05501420961</v>
      </c>
      <c r="K616" t="str">
        <f>""</f>
        <v/>
      </c>
      <c r="M616" t="s">
        <v>68</v>
      </c>
      <c r="N616" t="str">
        <f t="shared" si="72"/>
        <v>FOR</v>
      </c>
      <c r="O616" t="s">
        <v>69</v>
      </c>
      <c r="P616" t="s">
        <v>75</v>
      </c>
      <c r="Q616">
        <v>2016</v>
      </c>
      <c r="R616" s="4">
        <v>42458</v>
      </c>
      <c r="S616" s="2">
        <v>42464</v>
      </c>
      <c r="T616" s="2">
        <v>42459</v>
      </c>
      <c r="U616" s="4">
        <v>42519</v>
      </c>
      <c r="V616" t="s">
        <v>71</v>
      </c>
      <c r="W616" t="str">
        <f>"          1608105183"</f>
        <v xml:space="preserve">          1608105183</v>
      </c>
      <c r="X616">
        <v>989.73</v>
      </c>
      <c r="Y616">
        <v>0</v>
      </c>
      <c r="Z616" s="5">
        <v>899.75</v>
      </c>
      <c r="AA616" s="3">
        <v>249</v>
      </c>
      <c r="AB616" s="5">
        <v>224037.75</v>
      </c>
      <c r="AC616">
        <v>899.75</v>
      </c>
      <c r="AD616">
        <v>249</v>
      </c>
      <c r="AE616" s="1">
        <v>224037.75</v>
      </c>
      <c r="AF616">
        <v>0</v>
      </c>
      <c r="AJ616">
        <v>0</v>
      </c>
      <c r="AK616">
        <v>0</v>
      </c>
      <c r="AL616">
        <v>0</v>
      </c>
      <c r="AM616">
        <v>0</v>
      </c>
      <c r="AN616">
        <v>0</v>
      </c>
      <c r="AO616">
        <v>0</v>
      </c>
      <c r="AP616" s="2">
        <v>42831</v>
      </c>
      <c r="AQ616" t="s">
        <v>72</v>
      </c>
      <c r="AR616" t="s">
        <v>72</v>
      </c>
      <c r="AS616">
        <v>209</v>
      </c>
      <c r="AT616" s="4">
        <v>42768</v>
      </c>
      <c r="AU616" t="s">
        <v>73</v>
      </c>
      <c r="AV616">
        <v>209</v>
      </c>
      <c r="AW616" s="4">
        <v>42768</v>
      </c>
      <c r="BD616">
        <v>0</v>
      </c>
      <c r="BN616" t="s">
        <v>74</v>
      </c>
    </row>
    <row r="617" spans="1:66">
      <c r="A617">
        <v>100703</v>
      </c>
      <c r="B617" t="s">
        <v>170</v>
      </c>
      <c r="C617" s="1">
        <v>43300101</v>
      </c>
      <c r="D617" t="s">
        <v>67</v>
      </c>
      <c r="H617" t="str">
        <f t="shared" si="73"/>
        <v>05501420961</v>
      </c>
      <c r="I617" t="str">
        <f t="shared" si="73"/>
        <v>05501420961</v>
      </c>
      <c r="K617" t="str">
        <f>""</f>
        <v/>
      </c>
      <c r="M617" t="s">
        <v>68</v>
      </c>
      <c r="N617" t="str">
        <f t="shared" si="72"/>
        <v>FOR</v>
      </c>
      <c r="O617" t="s">
        <v>69</v>
      </c>
      <c r="P617" t="s">
        <v>75</v>
      </c>
      <c r="Q617">
        <v>2016</v>
      </c>
      <c r="R617" s="4">
        <v>42465</v>
      </c>
      <c r="S617" s="2">
        <v>42473</v>
      </c>
      <c r="T617" s="2">
        <v>42466</v>
      </c>
      <c r="U617" s="4">
        <v>42526</v>
      </c>
      <c r="V617" t="s">
        <v>71</v>
      </c>
      <c r="W617" t="str">
        <f>"          1608105714"</f>
        <v xml:space="preserve">          1608105714</v>
      </c>
      <c r="X617">
        <v>924</v>
      </c>
      <c r="Y617">
        <v>0</v>
      </c>
      <c r="Z617" s="5">
        <v>840</v>
      </c>
      <c r="AA617" s="3">
        <v>255</v>
      </c>
      <c r="AB617" s="5">
        <v>214200</v>
      </c>
      <c r="AC617">
        <v>840</v>
      </c>
      <c r="AD617">
        <v>255</v>
      </c>
      <c r="AE617" s="1">
        <v>214200</v>
      </c>
      <c r="AF617">
        <v>0</v>
      </c>
      <c r="AJ617">
        <v>0</v>
      </c>
      <c r="AK617">
        <v>0</v>
      </c>
      <c r="AL617">
        <v>0</v>
      </c>
      <c r="AM617">
        <v>0</v>
      </c>
      <c r="AN617">
        <v>0</v>
      </c>
      <c r="AO617">
        <v>0</v>
      </c>
      <c r="AP617" s="2">
        <v>42831</v>
      </c>
      <c r="AQ617" t="s">
        <v>72</v>
      </c>
      <c r="AR617" t="s">
        <v>72</v>
      </c>
      <c r="AS617">
        <v>450</v>
      </c>
      <c r="AT617" s="4">
        <v>42781</v>
      </c>
      <c r="AU617" t="s">
        <v>73</v>
      </c>
      <c r="AV617">
        <v>450</v>
      </c>
      <c r="AW617" s="4">
        <v>42781</v>
      </c>
      <c r="BD617">
        <v>0</v>
      </c>
      <c r="BN617" t="s">
        <v>74</v>
      </c>
    </row>
    <row r="618" spans="1:66">
      <c r="A618">
        <v>100703</v>
      </c>
      <c r="B618" t="s">
        <v>170</v>
      </c>
      <c r="C618" s="1">
        <v>43300101</v>
      </c>
      <c r="D618" t="s">
        <v>67</v>
      </c>
      <c r="H618" t="str">
        <f t="shared" si="73"/>
        <v>05501420961</v>
      </c>
      <c r="I618" t="str">
        <f t="shared" si="73"/>
        <v>05501420961</v>
      </c>
      <c r="K618" t="str">
        <f>""</f>
        <v/>
      </c>
      <c r="M618" t="s">
        <v>68</v>
      </c>
      <c r="N618" t="str">
        <f t="shared" si="72"/>
        <v>FOR</v>
      </c>
      <c r="O618" t="s">
        <v>69</v>
      </c>
      <c r="P618" t="s">
        <v>75</v>
      </c>
      <c r="Q618">
        <v>2016</v>
      </c>
      <c r="R618" s="4">
        <v>42479</v>
      </c>
      <c r="S618" s="2">
        <v>42481</v>
      </c>
      <c r="T618" s="2">
        <v>42480</v>
      </c>
      <c r="U618" s="4">
        <v>42540</v>
      </c>
      <c r="V618" t="s">
        <v>71</v>
      </c>
      <c r="W618" t="str">
        <f>"          1608106430"</f>
        <v xml:space="preserve">          1608106430</v>
      </c>
      <c r="X618" s="1">
        <v>1275.1199999999999</v>
      </c>
      <c r="Y618">
        <v>0</v>
      </c>
      <c r="Z618" s="5">
        <v>1159.2</v>
      </c>
      <c r="AA618" s="3">
        <v>241</v>
      </c>
      <c r="AB618" s="5">
        <v>279367.2</v>
      </c>
      <c r="AC618" s="1">
        <v>1159.2</v>
      </c>
      <c r="AD618">
        <v>241</v>
      </c>
      <c r="AE618" s="1">
        <v>279367.2</v>
      </c>
      <c r="AF618">
        <v>0</v>
      </c>
      <c r="AJ618">
        <v>0</v>
      </c>
      <c r="AK618">
        <v>0</v>
      </c>
      <c r="AL618">
        <v>0</v>
      </c>
      <c r="AM618">
        <v>0</v>
      </c>
      <c r="AN618">
        <v>0</v>
      </c>
      <c r="AO618">
        <v>0</v>
      </c>
      <c r="AP618" s="2">
        <v>42831</v>
      </c>
      <c r="AQ618" t="s">
        <v>72</v>
      </c>
      <c r="AR618" t="s">
        <v>72</v>
      </c>
      <c r="AS618">
        <v>450</v>
      </c>
      <c r="AT618" s="4">
        <v>42781</v>
      </c>
      <c r="AU618" t="s">
        <v>73</v>
      </c>
      <c r="AV618">
        <v>450</v>
      </c>
      <c r="AW618" s="4">
        <v>42781</v>
      </c>
      <c r="BD618">
        <v>0</v>
      </c>
      <c r="BN618" t="s">
        <v>74</v>
      </c>
    </row>
    <row r="619" spans="1:66">
      <c r="A619">
        <v>100703</v>
      </c>
      <c r="B619" t="s">
        <v>170</v>
      </c>
      <c r="C619" s="1">
        <v>43300101</v>
      </c>
      <c r="D619" t="s">
        <v>67</v>
      </c>
      <c r="H619" t="str">
        <f t="shared" si="73"/>
        <v>05501420961</v>
      </c>
      <c r="I619" t="str">
        <f t="shared" si="73"/>
        <v>05501420961</v>
      </c>
      <c r="K619" t="str">
        <f>""</f>
        <v/>
      </c>
      <c r="M619" t="s">
        <v>68</v>
      </c>
      <c r="N619" t="str">
        <f t="shared" si="72"/>
        <v>FOR</v>
      </c>
      <c r="O619" t="s">
        <v>69</v>
      </c>
      <c r="P619" t="s">
        <v>75</v>
      </c>
      <c r="Q619">
        <v>2016</v>
      </c>
      <c r="R619" s="4">
        <v>42495</v>
      </c>
      <c r="S619" s="2">
        <v>42499</v>
      </c>
      <c r="T619" s="2">
        <v>42496</v>
      </c>
      <c r="U619" s="4">
        <v>42556</v>
      </c>
      <c r="V619" t="s">
        <v>71</v>
      </c>
      <c r="W619" t="str">
        <f>"          1608107641"</f>
        <v xml:space="preserve">          1608107641</v>
      </c>
      <c r="X619" s="1">
        <v>1536.98</v>
      </c>
      <c r="Y619">
        <v>0</v>
      </c>
      <c r="Z619" s="5">
        <v>1397.25</v>
      </c>
      <c r="AA619" s="3">
        <v>245</v>
      </c>
      <c r="AB619" s="5">
        <v>342326.25</v>
      </c>
      <c r="AC619" s="1">
        <v>1397.25</v>
      </c>
      <c r="AD619">
        <v>245</v>
      </c>
      <c r="AE619" s="1">
        <v>342326.25</v>
      </c>
      <c r="AF619">
        <v>139.72999999999999</v>
      </c>
      <c r="AJ619">
        <v>0</v>
      </c>
      <c r="AK619">
        <v>0</v>
      </c>
      <c r="AL619">
        <v>0</v>
      </c>
      <c r="AM619">
        <v>0</v>
      </c>
      <c r="AN619">
        <v>0</v>
      </c>
      <c r="AO619">
        <v>0</v>
      </c>
      <c r="AP619" s="2">
        <v>42831</v>
      </c>
      <c r="AQ619" t="s">
        <v>72</v>
      </c>
      <c r="AR619" t="s">
        <v>72</v>
      </c>
      <c r="AS619">
        <v>738</v>
      </c>
      <c r="AT619" s="4">
        <v>42801</v>
      </c>
      <c r="AU619" t="s">
        <v>73</v>
      </c>
      <c r="AV619">
        <v>738</v>
      </c>
      <c r="AW619" s="4">
        <v>42801</v>
      </c>
      <c r="BD619">
        <v>139.72999999999999</v>
      </c>
      <c r="BN619" t="s">
        <v>74</v>
      </c>
    </row>
    <row r="620" spans="1:66">
      <c r="A620">
        <v>100703</v>
      </c>
      <c r="B620" t="s">
        <v>170</v>
      </c>
      <c r="C620" s="1">
        <v>43300101</v>
      </c>
      <c r="D620" t="s">
        <v>67</v>
      </c>
      <c r="H620" t="str">
        <f t="shared" si="73"/>
        <v>05501420961</v>
      </c>
      <c r="I620" t="str">
        <f t="shared" si="73"/>
        <v>05501420961</v>
      </c>
      <c r="K620" t="str">
        <f>""</f>
        <v/>
      </c>
      <c r="M620" t="s">
        <v>68</v>
      </c>
      <c r="N620" t="str">
        <f t="shared" si="72"/>
        <v>FOR</v>
      </c>
      <c r="O620" t="s">
        <v>69</v>
      </c>
      <c r="P620" t="s">
        <v>75</v>
      </c>
      <c r="Q620">
        <v>2016</v>
      </c>
      <c r="R620" s="4">
        <v>42500</v>
      </c>
      <c r="S620" s="2">
        <v>42501</v>
      </c>
      <c r="T620" s="2">
        <v>42501</v>
      </c>
      <c r="U620" s="4">
        <v>42561</v>
      </c>
      <c r="V620" t="s">
        <v>71</v>
      </c>
      <c r="W620" t="str">
        <f>"          1608108000"</f>
        <v xml:space="preserve">          1608108000</v>
      </c>
      <c r="X620">
        <v>693</v>
      </c>
      <c r="Y620">
        <v>0</v>
      </c>
      <c r="Z620" s="5">
        <v>630</v>
      </c>
      <c r="AA620" s="3">
        <v>240</v>
      </c>
      <c r="AB620" s="5">
        <v>151200</v>
      </c>
      <c r="AC620">
        <v>630</v>
      </c>
      <c r="AD620">
        <v>240</v>
      </c>
      <c r="AE620" s="1">
        <v>151200</v>
      </c>
      <c r="AF620">
        <v>63</v>
      </c>
      <c r="AJ620">
        <v>0</v>
      </c>
      <c r="AK620">
        <v>0</v>
      </c>
      <c r="AL620">
        <v>0</v>
      </c>
      <c r="AM620">
        <v>0</v>
      </c>
      <c r="AN620">
        <v>0</v>
      </c>
      <c r="AO620">
        <v>0</v>
      </c>
      <c r="AP620" s="2">
        <v>42831</v>
      </c>
      <c r="AQ620" t="s">
        <v>72</v>
      </c>
      <c r="AR620" t="s">
        <v>72</v>
      </c>
      <c r="AS620">
        <v>738</v>
      </c>
      <c r="AT620" s="4">
        <v>42801</v>
      </c>
      <c r="AU620" t="s">
        <v>73</v>
      </c>
      <c r="AV620">
        <v>738</v>
      </c>
      <c r="AW620" s="4">
        <v>42801</v>
      </c>
      <c r="BD620">
        <v>63</v>
      </c>
      <c r="BN620" t="s">
        <v>74</v>
      </c>
    </row>
    <row r="621" spans="1:66">
      <c r="A621">
        <v>100703</v>
      </c>
      <c r="B621" t="s">
        <v>170</v>
      </c>
      <c r="C621" s="1">
        <v>43300101</v>
      </c>
      <c r="D621" t="s">
        <v>67</v>
      </c>
      <c r="H621" t="str">
        <f t="shared" si="73"/>
        <v>05501420961</v>
      </c>
      <c r="I621" t="str">
        <f t="shared" si="73"/>
        <v>05501420961</v>
      </c>
      <c r="K621" t="str">
        <f>""</f>
        <v/>
      </c>
      <c r="M621" t="s">
        <v>68</v>
      </c>
      <c r="N621" t="str">
        <f t="shared" si="72"/>
        <v>FOR</v>
      </c>
      <c r="O621" t="s">
        <v>69</v>
      </c>
      <c r="P621" t="s">
        <v>75</v>
      </c>
      <c r="Q621">
        <v>2016</v>
      </c>
      <c r="R621" s="4">
        <v>42503</v>
      </c>
      <c r="S621" s="2">
        <v>42507</v>
      </c>
      <c r="T621" s="2">
        <v>42506</v>
      </c>
      <c r="U621" s="4">
        <v>42566</v>
      </c>
      <c r="V621" t="s">
        <v>71</v>
      </c>
      <c r="W621" t="str">
        <f>"          1608108374"</f>
        <v xml:space="preserve">          1608108374</v>
      </c>
      <c r="X621" s="1">
        <v>1583.56</v>
      </c>
      <c r="Y621">
        <v>0</v>
      </c>
      <c r="Z621" s="5">
        <v>1439.6</v>
      </c>
      <c r="AA621" s="3">
        <v>235</v>
      </c>
      <c r="AB621" s="5">
        <v>338306</v>
      </c>
      <c r="AC621" s="1">
        <v>1439.6</v>
      </c>
      <c r="AD621">
        <v>235</v>
      </c>
      <c r="AE621" s="1">
        <v>338306</v>
      </c>
      <c r="AF621">
        <v>143.96</v>
      </c>
      <c r="AJ621">
        <v>0</v>
      </c>
      <c r="AK621">
        <v>0</v>
      </c>
      <c r="AL621">
        <v>0</v>
      </c>
      <c r="AM621">
        <v>0</v>
      </c>
      <c r="AN621">
        <v>0</v>
      </c>
      <c r="AO621">
        <v>0</v>
      </c>
      <c r="AP621" s="2">
        <v>42831</v>
      </c>
      <c r="AQ621" t="s">
        <v>72</v>
      </c>
      <c r="AR621" t="s">
        <v>72</v>
      </c>
      <c r="AS621">
        <v>738</v>
      </c>
      <c r="AT621" s="4">
        <v>42801</v>
      </c>
      <c r="AU621" t="s">
        <v>73</v>
      </c>
      <c r="AV621">
        <v>738</v>
      </c>
      <c r="AW621" s="4">
        <v>42801</v>
      </c>
      <c r="BD621">
        <v>143.96</v>
      </c>
      <c r="BN621" t="s">
        <v>74</v>
      </c>
    </row>
    <row r="622" spans="1:66">
      <c r="A622">
        <v>100703</v>
      </c>
      <c r="B622" t="s">
        <v>170</v>
      </c>
      <c r="C622" s="1">
        <v>43300101</v>
      </c>
      <c r="D622" t="s">
        <v>67</v>
      </c>
      <c r="H622" t="str">
        <f t="shared" si="73"/>
        <v>05501420961</v>
      </c>
      <c r="I622" t="str">
        <f t="shared" si="73"/>
        <v>05501420961</v>
      </c>
      <c r="K622" t="str">
        <f>""</f>
        <v/>
      </c>
      <c r="M622" t="s">
        <v>68</v>
      </c>
      <c r="N622" t="str">
        <f t="shared" si="72"/>
        <v>FOR</v>
      </c>
      <c r="O622" t="s">
        <v>69</v>
      </c>
      <c r="P622" t="s">
        <v>75</v>
      </c>
      <c r="Q622">
        <v>2016</v>
      </c>
      <c r="R622" s="4">
        <v>42507</v>
      </c>
      <c r="S622" s="2">
        <v>42509</v>
      </c>
      <c r="T622" s="2">
        <v>42508</v>
      </c>
      <c r="U622" s="4">
        <v>42568</v>
      </c>
      <c r="V622" t="s">
        <v>71</v>
      </c>
      <c r="W622" t="str">
        <f>"          1608108505"</f>
        <v xml:space="preserve">          1608108505</v>
      </c>
      <c r="X622" s="1">
        <v>2174.54</v>
      </c>
      <c r="Y622">
        <v>0</v>
      </c>
      <c r="Z622" s="5">
        <v>1976.85</v>
      </c>
      <c r="AA622" s="3">
        <v>233</v>
      </c>
      <c r="AB622" s="5">
        <v>460606.05</v>
      </c>
      <c r="AC622" s="1">
        <v>1976.85</v>
      </c>
      <c r="AD622">
        <v>233</v>
      </c>
      <c r="AE622" s="1">
        <v>460606.05</v>
      </c>
      <c r="AF622">
        <v>197.69</v>
      </c>
      <c r="AJ622">
        <v>0</v>
      </c>
      <c r="AK622">
        <v>0</v>
      </c>
      <c r="AL622">
        <v>0</v>
      </c>
      <c r="AM622">
        <v>0</v>
      </c>
      <c r="AN622">
        <v>0</v>
      </c>
      <c r="AO622">
        <v>0</v>
      </c>
      <c r="AP622" s="2">
        <v>42831</v>
      </c>
      <c r="AQ622" t="s">
        <v>72</v>
      </c>
      <c r="AR622" t="s">
        <v>72</v>
      </c>
      <c r="AS622">
        <v>738</v>
      </c>
      <c r="AT622" s="4">
        <v>42801</v>
      </c>
      <c r="AU622" t="s">
        <v>73</v>
      </c>
      <c r="AV622">
        <v>738</v>
      </c>
      <c r="AW622" s="4">
        <v>42801</v>
      </c>
      <c r="BD622">
        <v>197.69</v>
      </c>
      <c r="BN622" t="s">
        <v>74</v>
      </c>
    </row>
    <row r="623" spans="1:66">
      <c r="A623">
        <v>100703</v>
      </c>
      <c r="B623" t="s">
        <v>170</v>
      </c>
      <c r="C623" s="1">
        <v>43300101</v>
      </c>
      <c r="D623" t="s">
        <v>67</v>
      </c>
      <c r="H623" t="str">
        <f t="shared" si="73"/>
        <v>05501420961</v>
      </c>
      <c r="I623" t="str">
        <f t="shared" si="73"/>
        <v>05501420961</v>
      </c>
      <c r="K623" t="str">
        <f>""</f>
        <v/>
      </c>
      <c r="M623" t="s">
        <v>68</v>
      </c>
      <c r="N623" t="str">
        <f t="shared" si="72"/>
        <v>FOR</v>
      </c>
      <c r="O623" t="s">
        <v>69</v>
      </c>
      <c r="P623" t="s">
        <v>75</v>
      </c>
      <c r="Q623">
        <v>2016</v>
      </c>
      <c r="R623" s="4">
        <v>42521</v>
      </c>
      <c r="S623" s="2">
        <v>42522</v>
      </c>
      <c r="T623" s="2">
        <v>42521</v>
      </c>
      <c r="U623" s="4">
        <v>42581</v>
      </c>
      <c r="V623" t="s">
        <v>71</v>
      </c>
      <c r="W623" t="str">
        <f>"          1608109330"</f>
        <v xml:space="preserve">          1608109330</v>
      </c>
      <c r="X623" s="1">
        <v>4901.16</v>
      </c>
      <c r="Y623">
        <v>0</v>
      </c>
      <c r="Z623" s="5">
        <v>4455.6000000000004</v>
      </c>
      <c r="AA623" s="3">
        <v>220</v>
      </c>
      <c r="AB623" s="5">
        <v>980232</v>
      </c>
      <c r="AC623" s="1">
        <v>4455.6000000000004</v>
      </c>
      <c r="AD623">
        <v>220</v>
      </c>
      <c r="AE623" s="1">
        <v>980232</v>
      </c>
      <c r="AF623">
        <v>445.56</v>
      </c>
      <c r="AJ623">
        <v>0</v>
      </c>
      <c r="AK623">
        <v>0</v>
      </c>
      <c r="AL623">
        <v>0</v>
      </c>
      <c r="AM623">
        <v>0</v>
      </c>
      <c r="AN623">
        <v>0</v>
      </c>
      <c r="AO623">
        <v>0</v>
      </c>
      <c r="AP623" s="2">
        <v>42831</v>
      </c>
      <c r="AQ623" t="s">
        <v>72</v>
      </c>
      <c r="AR623" t="s">
        <v>72</v>
      </c>
      <c r="AS623">
        <v>738</v>
      </c>
      <c r="AT623" s="4">
        <v>42801</v>
      </c>
      <c r="AU623" t="s">
        <v>73</v>
      </c>
      <c r="AV623">
        <v>738</v>
      </c>
      <c r="AW623" s="4">
        <v>42801</v>
      </c>
      <c r="BD623">
        <v>445.56</v>
      </c>
      <c r="BN623" t="s">
        <v>74</v>
      </c>
    </row>
    <row r="624" spans="1:66">
      <c r="A624">
        <v>100707</v>
      </c>
      <c r="B624" t="s">
        <v>171</v>
      </c>
      <c r="C624" s="1">
        <v>43300101</v>
      </c>
      <c r="D624" t="s">
        <v>67</v>
      </c>
      <c r="H624" t="str">
        <f t="shared" ref="H624:I632" si="74">"04553030638"</f>
        <v>04553030638</v>
      </c>
      <c r="I624" t="str">
        <f t="shared" si="74"/>
        <v>04553030638</v>
      </c>
      <c r="K624" t="str">
        <f>""</f>
        <v/>
      </c>
      <c r="M624" t="s">
        <v>68</v>
      </c>
      <c r="N624" t="str">
        <f t="shared" si="72"/>
        <v>FOR</v>
      </c>
      <c r="O624" t="s">
        <v>69</v>
      </c>
      <c r="P624" t="s">
        <v>75</v>
      </c>
      <c r="Q624">
        <v>2016</v>
      </c>
      <c r="R624" s="4">
        <v>42454</v>
      </c>
      <c r="S624" s="2">
        <v>42461</v>
      </c>
      <c r="T624" s="2">
        <v>42458</v>
      </c>
      <c r="U624" s="4">
        <v>42518</v>
      </c>
      <c r="V624" t="s">
        <v>71</v>
      </c>
      <c r="W624" t="str">
        <f>"        FATTPA 32_16"</f>
        <v xml:space="preserve">        FATTPA 32_16</v>
      </c>
      <c r="X624" s="1">
        <v>1715.32</v>
      </c>
      <c r="Y624">
        <v>0</v>
      </c>
      <c r="Z624" s="5">
        <v>1406</v>
      </c>
      <c r="AA624" s="3">
        <v>256</v>
      </c>
      <c r="AB624" s="5">
        <v>359936</v>
      </c>
      <c r="AC624" s="1">
        <v>1406</v>
      </c>
      <c r="AD624">
        <v>256</v>
      </c>
      <c r="AE624" s="1">
        <v>359936</v>
      </c>
      <c r="AF624">
        <v>0</v>
      </c>
      <c r="AJ624">
        <v>0</v>
      </c>
      <c r="AK624">
        <v>0</v>
      </c>
      <c r="AL624">
        <v>0</v>
      </c>
      <c r="AM624">
        <v>0</v>
      </c>
      <c r="AN624">
        <v>0</v>
      </c>
      <c r="AO624">
        <v>0</v>
      </c>
      <c r="AP624" s="2">
        <v>42831</v>
      </c>
      <c r="AQ624" t="s">
        <v>72</v>
      </c>
      <c r="AR624" t="s">
        <v>72</v>
      </c>
      <c r="AS624">
        <v>358</v>
      </c>
      <c r="AT624" s="4">
        <v>42774</v>
      </c>
      <c r="AU624" t="s">
        <v>73</v>
      </c>
      <c r="AV624">
        <v>358</v>
      </c>
      <c r="AW624" s="4">
        <v>42774</v>
      </c>
      <c r="BD624">
        <v>0</v>
      </c>
      <c r="BN624" t="s">
        <v>74</v>
      </c>
    </row>
    <row r="625" spans="1:66">
      <c r="A625">
        <v>100707</v>
      </c>
      <c r="B625" t="s">
        <v>171</v>
      </c>
      <c r="C625" s="1">
        <v>43300101</v>
      </c>
      <c r="D625" t="s">
        <v>67</v>
      </c>
      <c r="H625" t="str">
        <f t="shared" si="74"/>
        <v>04553030638</v>
      </c>
      <c r="I625" t="str">
        <f t="shared" si="74"/>
        <v>04553030638</v>
      </c>
      <c r="K625" t="str">
        <f>""</f>
        <v/>
      </c>
      <c r="M625" t="s">
        <v>68</v>
      </c>
      <c r="N625" t="str">
        <f t="shared" si="72"/>
        <v>FOR</v>
      </c>
      <c r="O625" t="s">
        <v>69</v>
      </c>
      <c r="P625" t="s">
        <v>75</v>
      </c>
      <c r="Q625">
        <v>2016</v>
      </c>
      <c r="R625" s="4">
        <v>42460</v>
      </c>
      <c r="S625" s="2">
        <v>42471</v>
      </c>
      <c r="T625" s="2">
        <v>42471</v>
      </c>
      <c r="U625" s="4">
        <v>42531</v>
      </c>
      <c r="V625" t="s">
        <v>71</v>
      </c>
      <c r="W625" t="str">
        <f>"        FATTPA 40_16"</f>
        <v xml:space="preserve">        FATTPA 40_16</v>
      </c>
      <c r="X625" s="1">
        <v>15860</v>
      </c>
      <c r="Y625">
        <v>0</v>
      </c>
      <c r="Z625" s="5">
        <v>13000</v>
      </c>
      <c r="AA625" s="3">
        <v>243</v>
      </c>
      <c r="AB625" s="5">
        <v>3159000</v>
      </c>
      <c r="AC625" s="1">
        <v>13000</v>
      </c>
      <c r="AD625">
        <v>243</v>
      </c>
      <c r="AE625" s="1">
        <v>3159000</v>
      </c>
      <c r="AF625">
        <v>0</v>
      </c>
      <c r="AJ625">
        <v>0</v>
      </c>
      <c r="AK625">
        <v>0</v>
      </c>
      <c r="AL625">
        <v>0</v>
      </c>
      <c r="AM625">
        <v>0</v>
      </c>
      <c r="AN625">
        <v>0</v>
      </c>
      <c r="AO625">
        <v>0</v>
      </c>
      <c r="AP625" s="2">
        <v>42831</v>
      </c>
      <c r="AQ625" t="s">
        <v>72</v>
      </c>
      <c r="AR625" t="s">
        <v>72</v>
      </c>
      <c r="AS625">
        <v>358</v>
      </c>
      <c r="AT625" s="4">
        <v>42774</v>
      </c>
      <c r="AU625" t="s">
        <v>73</v>
      </c>
      <c r="AV625">
        <v>358</v>
      </c>
      <c r="AW625" s="4">
        <v>42774</v>
      </c>
      <c r="BD625">
        <v>0</v>
      </c>
      <c r="BN625" t="s">
        <v>74</v>
      </c>
    </row>
    <row r="626" spans="1:66">
      <c r="A626">
        <v>100707</v>
      </c>
      <c r="B626" t="s">
        <v>171</v>
      </c>
      <c r="C626" s="1">
        <v>43300101</v>
      </c>
      <c r="D626" t="s">
        <v>67</v>
      </c>
      <c r="H626" t="str">
        <f t="shared" si="74"/>
        <v>04553030638</v>
      </c>
      <c r="I626" t="str">
        <f t="shared" si="74"/>
        <v>04553030638</v>
      </c>
      <c r="K626" t="str">
        <f>""</f>
        <v/>
      </c>
      <c r="M626" t="s">
        <v>68</v>
      </c>
      <c r="N626" t="str">
        <f t="shared" si="72"/>
        <v>FOR</v>
      </c>
      <c r="O626" t="s">
        <v>69</v>
      </c>
      <c r="P626" t="s">
        <v>75</v>
      </c>
      <c r="Q626">
        <v>2016</v>
      </c>
      <c r="R626" s="4">
        <v>42489</v>
      </c>
      <c r="S626" s="2">
        <v>42502</v>
      </c>
      <c r="T626" s="2">
        <v>42500</v>
      </c>
      <c r="U626" s="4">
        <v>42560</v>
      </c>
      <c r="V626" t="s">
        <v>71</v>
      </c>
      <c r="W626" t="str">
        <f>"        FATTPA 53_16"</f>
        <v xml:space="preserve">        FATTPA 53_16</v>
      </c>
      <c r="X626">
        <v>707.6</v>
      </c>
      <c r="Y626">
        <v>0</v>
      </c>
      <c r="Z626" s="5">
        <v>580</v>
      </c>
      <c r="AA626" s="3">
        <v>215</v>
      </c>
      <c r="AB626" s="5">
        <v>124700</v>
      </c>
      <c r="AC626">
        <v>580</v>
      </c>
      <c r="AD626">
        <v>215</v>
      </c>
      <c r="AE626" s="1">
        <v>124700</v>
      </c>
      <c r="AF626">
        <v>0</v>
      </c>
      <c r="AJ626">
        <v>0</v>
      </c>
      <c r="AK626">
        <v>0</v>
      </c>
      <c r="AL626">
        <v>0</v>
      </c>
      <c r="AM626">
        <v>0</v>
      </c>
      <c r="AN626">
        <v>0</v>
      </c>
      <c r="AO626">
        <v>0</v>
      </c>
      <c r="AP626" s="2">
        <v>42831</v>
      </c>
      <c r="AQ626" t="s">
        <v>72</v>
      </c>
      <c r="AR626" t="s">
        <v>72</v>
      </c>
      <c r="AS626">
        <v>377</v>
      </c>
      <c r="AT626" s="4">
        <v>42775</v>
      </c>
      <c r="AU626" t="s">
        <v>73</v>
      </c>
      <c r="AV626">
        <v>377</v>
      </c>
      <c r="AW626" s="4">
        <v>42775</v>
      </c>
      <c r="BD626">
        <v>0</v>
      </c>
      <c r="BN626" t="s">
        <v>74</v>
      </c>
    </row>
    <row r="627" spans="1:66">
      <c r="A627">
        <v>100707</v>
      </c>
      <c r="B627" t="s">
        <v>171</v>
      </c>
      <c r="C627" s="1">
        <v>43300101</v>
      </c>
      <c r="D627" t="s">
        <v>67</v>
      </c>
      <c r="H627" t="str">
        <f t="shared" si="74"/>
        <v>04553030638</v>
      </c>
      <c r="I627" t="str">
        <f t="shared" si="74"/>
        <v>04553030638</v>
      </c>
      <c r="K627" t="str">
        <f>""</f>
        <v/>
      </c>
      <c r="M627" t="s">
        <v>68</v>
      </c>
      <c r="N627" t="str">
        <f t="shared" si="72"/>
        <v>FOR</v>
      </c>
      <c r="O627" t="s">
        <v>69</v>
      </c>
      <c r="P627" t="s">
        <v>75</v>
      </c>
      <c r="Q627">
        <v>2016</v>
      </c>
      <c r="R627" s="4">
        <v>42489</v>
      </c>
      <c r="S627" s="2">
        <v>42501</v>
      </c>
      <c r="T627" s="2">
        <v>42500</v>
      </c>
      <c r="U627" s="4">
        <v>42560</v>
      </c>
      <c r="V627" t="s">
        <v>71</v>
      </c>
      <c r="W627" t="str">
        <f>"        FATTPA 54_16"</f>
        <v xml:space="preserve">        FATTPA 54_16</v>
      </c>
      <c r="X627" s="1">
        <v>3233</v>
      </c>
      <c r="Y627">
        <v>0</v>
      </c>
      <c r="Z627" s="5">
        <v>2650</v>
      </c>
      <c r="AA627" s="3">
        <v>215</v>
      </c>
      <c r="AB627" s="5">
        <v>569750</v>
      </c>
      <c r="AC627" s="1">
        <v>2650</v>
      </c>
      <c r="AD627">
        <v>215</v>
      </c>
      <c r="AE627" s="1">
        <v>569750</v>
      </c>
      <c r="AF627">
        <v>0</v>
      </c>
      <c r="AJ627">
        <v>0</v>
      </c>
      <c r="AK627">
        <v>0</v>
      </c>
      <c r="AL627">
        <v>0</v>
      </c>
      <c r="AM627">
        <v>0</v>
      </c>
      <c r="AN627">
        <v>0</v>
      </c>
      <c r="AO627">
        <v>0</v>
      </c>
      <c r="AP627" s="2">
        <v>42831</v>
      </c>
      <c r="AQ627" t="s">
        <v>72</v>
      </c>
      <c r="AR627" t="s">
        <v>72</v>
      </c>
      <c r="AS627">
        <v>377</v>
      </c>
      <c r="AT627" s="4">
        <v>42775</v>
      </c>
      <c r="AU627" t="s">
        <v>73</v>
      </c>
      <c r="AV627">
        <v>377</v>
      </c>
      <c r="AW627" s="4">
        <v>42775</v>
      </c>
      <c r="BD627">
        <v>0</v>
      </c>
      <c r="BN627" t="s">
        <v>74</v>
      </c>
    </row>
    <row r="628" spans="1:66">
      <c r="A628">
        <v>100707</v>
      </c>
      <c r="B628" t="s">
        <v>171</v>
      </c>
      <c r="C628" s="1">
        <v>43300101</v>
      </c>
      <c r="D628" t="s">
        <v>67</v>
      </c>
      <c r="H628" t="str">
        <f t="shared" si="74"/>
        <v>04553030638</v>
      </c>
      <c r="I628" t="str">
        <f t="shared" si="74"/>
        <v>04553030638</v>
      </c>
      <c r="K628" t="str">
        <f>""</f>
        <v/>
      </c>
      <c r="M628" t="s">
        <v>68</v>
      </c>
      <c r="N628" t="str">
        <f t="shared" si="72"/>
        <v>FOR</v>
      </c>
      <c r="O628" t="s">
        <v>69</v>
      </c>
      <c r="P628" t="s">
        <v>75</v>
      </c>
      <c r="Q628">
        <v>2016</v>
      </c>
      <c r="R628" s="4">
        <v>42489</v>
      </c>
      <c r="S628" s="2">
        <v>42501</v>
      </c>
      <c r="T628" s="2">
        <v>42500</v>
      </c>
      <c r="U628" s="4">
        <v>42560</v>
      </c>
      <c r="V628" t="s">
        <v>71</v>
      </c>
      <c r="W628" t="str">
        <f>"        FATTPA 55_16"</f>
        <v xml:space="preserve">        FATTPA 55_16</v>
      </c>
      <c r="X628" s="1">
        <v>1268.8</v>
      </c>
      <c r="Y628">
        <v>0</v>
      </c>
      <c r="Z628" s="5">
        <v>1040</v>
      </c>
      <c r="AA628" s="3">
        <v>215</v>
      </c>
      <c r="AB628" s="5">
        <v>223600</v>
      </c>
      <c r="AC628" s="1">
        <v>1040</v>
      </c>
      <c r="AD628">
        <v>215</v>
      </c>
      <c r="AE628" s="1">
        <v>223600</v>
      </c>
      <c r="AF628">
        <v>0</v>
      </c>
      <c r="AJ628">
        <v>0</v>
      </c>
      <c r="AK628">
        <v>0</v>
      </c>
      <c r="AL628">
        <v>0</v>
      </c>
      <c r="AM628">
        <v>0</v>
      </c>
      <c r="AN628">
        <v>0</v>
      </c>
      <c r="AO628">
        <v>0</v>
      </c>
      <c r="AP628" s="2">
        <v>42831</v>
      </c>
      <c r="AQ628" t="s">
        <v>72</v>
      </c>
      <c r="AR628" t="s">
        <v>72</v>
      </c>
      <c r="AS628">
        <v>377</v>
      </c>
      <c r="AT628" s="4">
        <v>42775</v>
      </c>
      <c r="AU628" t="s">
        <v>73</v>
      </c>
      <c r="AV628">
        <v>377</v>
      </c>
      <c r="AW628" s="4">
        <v>42775</v>
      </c>
      <c r="BD628">
        <v>0</v>
      </c>
      <c r="BN628" t="s">
        <v>74</v>
      </c>
    </row>
    <row r="629" spans="1:66">
      <c r="A629">
        <v>100707</v>
      </c>
      <c r="B629" t="s">
        <v>171</v>
      </c>
      <c r="C629" s="1">
        <v>43300101</v>
      </c>
      <c r="D629" t="s">
        <v>67</v>
      </c>
      <c r="H629" t="str">
        <f t="shared" si="74"/>
        <v>04553030638</v>
      </c>
      <c r="I629" t="str">
        <f t="shared" si="74"/>
        <v>04553030638</v>
      </c>
      <c r="K629" t="str">
        <f>""</f>
        <v/>
      </c>
      <c r="M629" t="s">
        <v>68</v>
      </c>
      <c r="N629" t="str">
        <f t="shared" ref="N629:N638" si="75">"FOR"</f>
        <v>FOR</v>
      </c>
      <c r="O629" t="s">
        <v>69</v>
      </c>
      <c r="P629" t="s">
        <v>75</v>
      </c>
      <c r="Q629">
        <v>2016</v>
      </c>
      <c r="R629" s="4">
        <v>42513</v>
      </c>
      <c r="S629" s="2">
        <v>42514</v>
      </c>
      <c r="T629" s="2">
        <v>42514</v>
      </c>
      <c r="U629" s="4">
        <v>42574</v>
      </c>
      <c r="V629" t="s">
        <v>71</v>
      </c>
      <c r="W629" t="str">
        <f>"        FATTPA 66_16"</f>
        <v xml:space="preserve">        FATTPA 66_16</v>
      </c>
      <c r="X629" s="1">
        <v>2026.42</v>
      </c>
      <c r="Y629">
        <v>0</v>
      </c>
      <c r="Z629" s="5">
        <v>1661</v>
      </c>
      <c r="AA629" s="3">
        <v>221</v>
      </c>
      <c r="AB629" s="5">
        <v>367081</v>
      </c>
      <c r="AC629" s="1">
        <v>1661</v>
      </c>
      <c r="AD629">
        <v>221</v>
      </c>
      <c r="AE629" s="1">
        <v>367081</v>
      </c>
      <c r="AF629">
        <v>365.42</v>
      </c>
      <c r="AJ629">
        <v>0</v>
      </c>
      <c r="AK629">
        <v>0</v>
      </c>
      <c r="AL629">
        <v>0</v>
      </c>
      <c r="AM629">
        <v>0</v>
      </c>
      <c r="AN629">
        <v>0</v>
      </c>
      <c r="AO629">
        <v>0</v>
      </c>
      <c r="AP629" s="2">
        <v>42831</v>
      </c>
      <c r="AQ629" t="s">
        <v>72</v>
      </c>
      <c r="AR629" t="s">
        <v>72</v>
      </c>
      <c r="AS629">
        <v>650</v>
      </c>
      <c r="AT629" s="4">
        <v>42795</v>
      </c>
      <c r="AU629" t="s">
        <v>73</v>
      </c>
      <c r="AV629">
        <v>650</v>
      </c>
      <c r="AW629" s="4">
        <v>42795</v>
      </c>
      <c r="BD629">
        <v>365.42</v>
      </c>
      <c r="BN629" t="s">
        <v>74</v>
      </c>
    </row>
    <row r="630" spans="1:66">
      <c r="A630">
        <v>100707</v>
      </c>
      <c r="B630" t="s">
        <v>171</v>
      </c>
      <c r="C630" s="1">
        <v>43300101</v>
      </c>
      <c r="D630" t="s">
        <v>67</v>
      </c>
      <c r="H630" t="str">
        <f t="shared" si="74"/>
        <v>04553030638</v>
      </c>
      <c r="I630" t="str">
        <f t="shared" si="74"/>
        <v>04553030638</v>
      </c>
      <c r="K630" t="str">
        <f>""</f>
        <v/>
      </c>
      <c r="M630" t="s">
        <v>68</v>
      </c>
      <c r="N630" t="str">
        <f t="shared" si="75"/>
        <v>FOR</v>
      </c>
      <c r="O630" t="s">
        <v>69</v>
      </c>
      <c r="P630" t="s">
        <v>75</v>
      </c>
      <c r="Q630">
        <v>2016</v>
      </c>
      <c r="R630" s="4">
        <v>42513</v>
      </c>
      <c r="S630" s="2">
        <v>42514</v>
      </c>
      <c r="T630" s="2">
        <v>42514</v>
      </c>
      <c r="U630" s="4">
        <v>42574</v>
      </c>
      <c r="V630" t="s">
        <v>71</v>
      </c>
      <c r="W630" t="str">
        <f>"        FATTPA 69_16"</f>
        <v xml:space="preserve">        FATTPA 69_16</v>
      </c>
      <c r="X630" s="1">
        <v>4148</v>
      </c>
      <c r="Y630">
        <v>0</v>
      </c>
      <c r="Z630" s="5">
        <v>3400</v>
      </c>
      <c r="AA630" s="3">
        <v>221</v>
      </c>
      <c r="AB630" s="5">
        <v>751400</v>
      </c>
      <c r="AC630" s="1">
        <v>3400</v>
      </c>
      <c r="AD630">
        <v>221</v>
      </c>
      <c r="AE630" s="1">
        <v>751400</v>
      </c>
      <c r="AF630">
        <v>748</v>
      </c>
      <c r="AJ630">
        <v>0</v>
      </c>
      <c r="AK630">
        <v>0</v>
      </c>
      <c r="AL630">
        <v>0</v>
      </c>
      <c r="AM630">
        <v>0</v>
      </c>
      <c r="AN630">
        <v>0</v>
      </c>
      <c r="AO630">
        <v>0</v>
      </c>
      <c r="AP630" s="2">
        <v>42831</v>
      </c>
      <c r="AQ630" t="s">
        <v>72</v>
      </c>
      <c r="AR630" t="s">
        <v>72</v>
      </c>
      <c r="AS630">
        <v>650</v>
      </c>
      <c r="AT630" s="4">
        <v>42795</v>
      </c>
      <c r="AU630" t="s">
        <v>73</v>
      </c>
      <c r="AV630">
        <v>650</v>
      </c>
      <c r="AW630" s="4">
        <v>42795</v>
      </c>
      <c r="BD630">
        <v>748</v>
      </c>
      <c r="BN630" t="s">
        <v>74</v>
      </c>
    </row>
    <row r="631" spans="1:66">
      <c r="A631">
        <v>100707</v>
      </c>
      <c r="B631" t="s">
        <v>171</v>
      </c>
      <c r="C631" s="1">
        <v>43300101</v>
      </c>
      <c r="D631" t="s">
        <v>67</v>
      </c>
      <c r="H631" t="str">
        <f t="shared" si="74"/>
        <v>04553030638</v>
      </c>
      <c r="I631" t="str">
        <f t="shared" si="74"/>
        <v>04553030638</v>
      </c>
      <c r="K631" t="str">
        <f>""</f>
        <v/>
      </c>
      <c r="M631" t="s">
        <v>68</v>
      </c>
      <c r="N631" t="str">
        <f t="shared" si="75"/>
        <v>FOR</v>
      </c>
      <c r="O631" t="s">
        <v>69</v>
      </c>
      <c r="P631" t="s">
        <v>70</v>
      </c>
      <c r="Q631">
        <v>2016</v>
      </c>
      <c r="R631" s="4">
        <v>42513</v>
      </c>
      <c r="S631" s="2">
        <v>42514</v>
      </c>
      <c r="T631" s="2">
        <v>42514</v>
      </c>
      <c r="U631" s="4">
        <v>42574</v>
      </c>
      <c r="V631" t="s">
        <v>71</v>
      </c>
      <c r="W631" t="str">
        <f>"        FATTPA 70_16"</f>
        <v xml:space="preserve">        FATTPA 70_16</v>
      </c>
      <c r="X631" s="1">
        <v>10675</v>
      </c>
      <c r="Y631">
        <v>0</v>
      </c>
      <c r="Z631" s="5">
        <v>8750</v>
      </c>
      <c r="AA631" s="3">
        <v>221</v>
      </c>
      <c r="AB631" s="5">
        <v>1933750</v>
      </c>
      <c r="AC631" s="1">
        <v>8750</v>
      </c>
      <c r="AD631">
        <v>221</v>
      </c>
      <c r="AE631" s="1">
        <v>1933750</v>
      </c>
      <c r="AF631" s="1">
        <v>1925</v>
      </c>
      <c r="AJ631">
        <v>0</v>
      </c>
      <c r="AK631">
        <v>0</v>
      </c>
      <c r="AL631">
        <v>0</v>
      </c>
      <c r="AM631">
        <v>0</v>
      </c>
      <c r="AN631">
        <v>0</v>
      </c>
      <c r="AO631">
        <v>0</v>
      </c>
      <c r="AP631" s="2">
        <v>42831</v>
      </c>
      <c r="AQ631" t="s">
        <v>72</v>
      </c>
      <c r="AR631" t="s">
        <v>72</v>
      </c>
      <c r="AS631">
        <v>650</v>
      </c>
      <c r="AT631" s="4">
        <v>42795</v>
      </c>
      <c r="AU631" t="s">
        <v>73</v>
      </c>
      <c r="AV631">
        <v>650</v>
      </c>
      <c r="AW631" s="4">
        <v>42795</v>
      </c>
      <c r="BD631" s="1">
        <v>1925</v>
      </c>
      <c r="BN631" t="s">
        <v>74</v>
      </c>
    </row>
    <row r="632" spans="1:66">
      <c r="A632">
        <v>100707</v>
      </c>
      <c r="B632" t="s">
        <v>171</v>
      </c>
      <c r="C632" s="1">
        <v>43300101</v>
      </c>
      <c r="D632" t="s">
        <v>67</v>
      </c>
      <c r="H632" t="str">
        <f t="shared" si="74"/>
        <v>04553030638</v>
      </c>
      <c r="I632" t="str">
        <f t="shared" si="74"/>
        <v>04553030638</v>
      </c>
      <c r="K632" t="str">
        <f>""</f>
        <v/>
      </c>
      <c r="M632" t="s">
        <v>68</v>
      </c>
      <c r="N632" t="str">
        <f t="shared" si="75"/>
        <v>FOR</v>
      </c>
      <c r="O632" t="s">
        <v>69</v>
      </c>
      <c r="P632" t="s">
        <v>75</v>
      </c>
      <c r="Q632">
        <v>2016</v>
      </c>
      <c r="R632" s="4">
        <v>42513</v>
      </c>
      <c r="S632" s="2">
        <v>42514</v>
      </c>
      <c r="T632" s="2">
        <v>42514</v>
      </c>
      <c r="U632" s="4">
        <v>42574</v>
      </c>
      <c r="V632" t="s">
        <v>71</v>
      </c>
      <c r="W632" t="str">
        <f>"        FATTPA 71_16"</f>
        <v xml:space="preserve">        FATTPA 71_16</v>
      </c>
      <c r="X632">
        <v>463.6</v>
      </c>
      <c r="Y632">
        <v>0</v>
      </c>
      <c r="Z632" s="5">
        <v>380</v>
      </c>
      <c r="AA632" s="3">
        <v>221</v>
      </c>
      <c r="AB632" s="5">
        <v>83980</v>
      </c>
      <c r="AC632">
        <v>380</v>
      </c>
      <c r="AD632">
        <v>221</v>
      </c>
      <c r="AE632" s="1">
        <v>83980</v>
      </c>
      <c r="AF632">
        <v>83.6</v>
      </c>
      <c r="AJ632">
        <v>0</v>
      </c>
      <c r="AK632">
        <v>0</v>
      </c>
      <c r="AL632">
        <v>0</v>
      </c>
      <c r="AM632">
        <v>0</v>
      </c>
      <c r="AN632">
        <v>0</v>
      </c>
      <c r="AO632">
        <v>0</v>
      </c>
      <c r="AP632" s="2">
        <v>42831</v>
      </c>
      <c r="AQ632" t="s">
        <v>72</v>
      </c>
      <c r="AR632" t="s">
        <v>72</v>
      </c>
      <c r="AS632">
        <v>650</v>
      </c>
      <c r="AT632" s="4">
        <v>42795</v>
      </c>
      <c r="AU632" t="s">
        <v>73</v>
      </c>
      <c r="AV632">
        <v>650</v>
      </c>
      <c r="AW632" s="4">
        <v>42795</v>
      </c>
      <c r="BD632">
        <v>83.6</v>
      </c>
      <c r="BN632" t="s">
        <v>74</v>
      </c>
    </row>
    <row r="633" spans="1:66">
      <c r="A633">
        <v>100714</v>
      </c>
      <c r="B633" t="s">
        <v>172</v>
      </c>
      <c r="C633" s="1">
        <v>43300101</v>
      </c>
      <c r="D633" t="s">
        <v>67</v>
      </c>
      <c r="H633" t="str">
        <f>"05653560960"</f>
        <v>05653560960</v>
      </c>
      <c r="I633" t="str">
        <f>"05653560960"</f>
        <v>05653560960</v>
      </c>
      <c r="K633" t="str">
        <f>""</f>
        <v/>
      </c>
      <c r="M633" t="s">
        <v>68</v>
      </c>
      <c r="N633" t="str">
        <f t="shared" si="75"/>
        <v>FOR</v>
      </c>
      <c r="O633" t="s">
        <v>69</v>
      </c>
      <c r="P633" t="s">
        <v>75</v>
      </c>
      <c r="Q633">
        <v>2016</v>
      </c>
      <c r="R633" s="4">
        <v>42450</v>
      </c>
      <c r="S633" s="2">
        <v>42461</v>
      </c>
      <c r="T633" s="2">
        <v>42451</v>
      </c>
      <c r="U633" s="4">
        <v>42511</v>
      </c>
      <c r="V633" t="s">
        <v>71</v>
      </c>
      <c r="W633" t="str">
        <f>"          0111382089"</f>
        <v xml:space="preserve">          0111382089</v>
      </c>
      <c r="X633" s="1">
        <v>4711.6400000000003</v>
      </c>
      <c r="Y633">
        <v>0</v>
      </c>
      <c r="Z633" s="5">
        <v>3862</v>
      </c>
      <c r="AA633" s="3">
        <v>255</v>
      </c>
      <c r="AB633" s="5">
        <v>984810</v>
      </c>
      <c r="AC633" s="1">
        <v>3862</v>
      </c>
      <c r="AD633">
        <v>255</v>
      </c>
      <c r="AE633" s="1">
        <v>984810</v>
      </c>
      <c r="AF633">
        <v>0</v>
      </c>
      <c r="AJ633">
        <v>0</v>
      </c>
      <c r="AK633">
        <v>0</v>
      </c>
      <c r="AL633">
        <v>0</v>
      </c>
      <c r="AM633">
        <v>0</v>
      </c>
      <c r="AN633">
        <v>0</v>
      </c>
      <c r="AO633">
        <v>0</v>
      </c>
      <c r="AP633" s="2">
        <v>42831</v>
      </c>
      <c r="AQ633" t="s">
        <v>72</v>
      </c>
      <c r="AR633" t="s">
        <v>72</v>
      </c>
      <c r="AS633">
        <v>185</v>
      </c>
      <c r="AT633" s="4">
        <v>42766</v>
      </c>
      <c r="AU633" t="s">
        <v>73</v>
      </c>
      <c r="AV633">
        <v>185</v>
      </c>
      <c r="AW633" s="4">
        <v>42766</v>
      </c>
      <c r="BD633">
        <v>0</v>
      </c>
      <c r="BN633" t="s">
        <v>74</v>
      </c>
    </row>
    <row r="634" spans="1:66">
      <c r="A634">
        <v>100714</v>
      </c>
      <c r="B634" t="s">
        <v>172</v>
      </c>
      <c r="C634" s="1">
        <v>43300101</v>
      </c>
      <c r="D634" t="s">
        <v>67</v>
      </c>
      <c r="H634" t="str">
        <f>"05653560960"</f>
        <v>05653560960</v>
      </c>
      <c r="I634" t="str">
        <f>"05653560960"</f>
        <v>05653560960</v>
      </c>
      <c r="K634" t="str">
        <f>""</f>
        <v/>
      </c>
      <c r="M634" t="s">
        <v>68</v>
      </c>
      <c r="N634" t="str">
        <f t="shared" si="75"/>
        <v>FOR</v>
      </c>
      <c r="O634" t="s">
        <v>69</v>
      </c>
      <c r="P634" t="s">
        <v>75</v>
      </c>
      <c r="Q634">
        <v>2016</v>
      </c>
      <c r="R634" s="4">
        <v>42522</v>
      </c>
      <c r="S634" s="2">
        <v>42537</v>
      </c>
      <c r="T634" s="2">
        <v>42536</v>
      </c>
      <c r="U634" s="4">
        <v>42596</v>
      </c>
      <c r="V634" t="s">
        <v>71</v>
      </c>
      <c r="W634" t="str">
        <f>"          0111384190"</f>
        <v xml:space="preserve">          0111384190</v>
      </c>
      <c r="X634" s="1">
        <v>4711.6400000000003</v>
      </c>
      <c r="Y634">
        <v>0</v>
      </c>
      <c r="Z634" s="5">
        <v>3862</v>
      </c>
      <c r="AA634" s="3">
        <v>199</v>
      </c>
      <c r="AB634" s="5">
        <v>768538</v>
      </c>
      <c r="AC634" s="1">
        <v>3862</v>
      </c>
      <c r="AD634">
        <v>199</v>
      </c>
      <c r="AE634" s="1">
        <v>768538</v>
      </c>
      <c r="AF634">
        <v>849.64</v>
      </c>
      <c r="AJ634">
        <v>0</v>
      </c>
      <c r="AK634">
        <v>0</v>
      </c>
      <c r="AL634">
        <v>0</v>
      </c>
      <c r="AM634">
        <v>0</v>
      </c>
      <c r="AN634">
        <v>0</v>
      </c>
      <c r="AO634">
        <v>0</v>
      </c>
      <c r="AP634" s="2">
        <v>42831</v>
      </c>
      <c r="AQ634" t="s">
        <v>72</v>
      </c>
      <c r="AR634" t="s">
        <v>72</v>
      </c>
      <c r="AS634">
        <v>628</v>
      </c>
      <c r="AT634" s="4">
        <v>42795</v>
      </c>
      <c r="AU634" t="s">
        <v>73</v>
      </c>
      <c r="AV634">
        <v>628</v>
      </c>
      <c r="AW634" s="4">
        <v>42795</v>
      </c>
      <c r="BD634">
        <v>849.64</v>
      </c>
      <c r="BN634" t="s">
        <v>74</v>
      </c>
    </row>
    <row r="635" spans="1:66">
      <c r="A635">
        <v>100741</v>
      </c>
      <c r="B635" t="s">
        <v>173</v>
      </c>
      <c r="C635" s="1">
        <v>43300101</v>
      </c>
      <c r="D635" t="s">
        <v>67</v>
      </c>
      <c r="H635" t="str">
        <f t="shared" ref="H635:I638" si="76">"04676440631"</f>
        <v>04676440631</v>
      </c>
      <c r="I635" t="str">
        <f t="shared" si="76"/>
        <v>04676440631</v>
      </c>
      <c r="K635" t="str">
        <f>""</f>
        <v/>
      </c>
      <c r="M635" t="s">
        <v>68</v>
      </c>
      <c r="N635" t="str">
        <f t="shared" si="75"/>
        <v>FOR</v>
      </c>
      <c r="O635" t="s">
        <v>69</v>
      </c>
      <c r="P635" t="s">
        <v>75</v>
      </c>
      <c r="Q635">
        <v>2016</v>
      </c>
      <c r="R635" s="4">
        <v>42410</v>
      </c>
      <c r="S635" s="2">
        <v>42426</v>
      </c>
      <c r="T635" s="2">
        <v>42424</v>
      </c>
      <c r="U635" s="4">
        <v>42484</v>
      </c>
      <c r="V635" t="s">
        <v>71</v>
      </c>
      <c r="W635" t="str">
        <f>"                  12"</f>
        <v xml:space="preserve">                  12</v>
      </c>
      <c r="X635" s="1">
        <v>41480</v>
      </c>
      <c r="Y635">
        <v>0</v>
      </c>
      <c r="Z635" s="5">
        <v>34000</v>
      </c>
      <c r="AA635" s="3">
        <v>290</v>
      </c>
      <c r="AB635" s="5">
        <v>9860000</v>
      </c>
      <c r="AC635" s="1">
        <v>34000</v>
      </c>
      <c r="AD635">
        <v>290</v>
      </c>
      <c r="AE635" s="1">
        <v>9860000</v>
      </c>
      <c r="AF635">
        <v>0</v>
      </c>
      <c r="AJ635">
        <v>0</v>
      </c>
      <c r="AK635">
        <v>0</v>
      </c>
      <c r="AL635">
        <v>0</v>
      </c>
      <c r="AM635">
        <v>0</v>
      </c>
      <c r="AN635">
        <v>0</v>
      </c>
      <c r="AO635">
        <v>0</v>
      </c>
      <c r="AP635" s="2">
        <v>42831</v>
      </c>
      <c r="AQ635" t="s">
        <v>72</v>
      </c>
      <c r="AR635" t="s">
        <v>72</v>
      </c>
      <c r="AS635">
        <v>315</v>
      </c>
      <c r="AT635" s="4">
        <v>42774</v>
      </c>
      <c r="AU635" t="s">
        <v>73</v>
      </c>
      <c r="AV635">
        <v>315</v>
      </c>
      <c r="AW635" s="4">
        <v>42774</v>
      </c>
      <c r="BD635">
        <v>0</v>
      </c>
      <c r="BN635" t="s">
        <v>74</v>
      </c>
    </row>
    <row r="636" spans="1:66">
      <c r="A636">
        <v>100741</v>
      </c>
      <c r="B636" t="s">
        <v>173</v>
      </c>
      <c r="C636" s="1">
        <v>43300101</v>
      </c>
      <c r="D636" t="s">
        <v>67</v>
      </c>
      <c r="H636" t="str">
        <f t="shared" si="76"/>
        <v>04676440631</v>
      </c>
      <c r="I636" t="str">
        <f t="shared" si="76"/>
        <v>04676440631</v>
      </c>
      <c r="K636" t="str">
        <f>""</f>
        <v/>
      </c>
      <c r="M636" t="s">
        <v>68</v>
      </c>
      <c r="N636" t="str">
        <f t="shared" si="75"/>
        <v>FOR</v>
      </c>
      <c r="O636" t="s">
        <v>69</v>
      </c>
      <c r="P636" t="s">
        <v>75</v>
      </c>
      <c r="Q636">
        <v>2016</v>
      </c>
      <c r="R636" s="4">
        <v>42437</v>
      </c>
      <c r="S636" s="2">
        <v>42460</v>
      </c>
      <c r="T636" s="2">
        <v>42446</v>
      </c>
      <c r="U636" s="4">
        <v>42506</v>
      </c>
      <c r="V636" t="s">
        <v>71</v>
      </c>
      <c r="W636" t="str">
        <f>"                  32"</f>
        <v xml:space="preserve">                  32</v>
      </c>
      <c r="X636" s="1">
        <v>13908</v>
      </c>
      <c r="Y636">
        <v>0</v>
      </c>
      <c r="Z636" s="5">
        <v>11400</v>
      </c>
      <c r="AA636" s="3">
        <v>268</v>
      </c>
      <c r="AB636" s="5">
        <v>3055200</v>
      </c>
      <c r="AC636" s="1">
        <v>11400</v>
      </c>
      <c r="AD636">
        <v>268</v>
      </c>
      <c r="AE636" s="1">
        <v>3055200</v>
      </c>
      <c r="AF636">
        <v>0</v>
      </c>
      <c r="AJ636">
        <v>0</v>
      </c>
      <c r="AK636">
        <v>0</v>
      </c>
      <c r="AL636">
        <v>0</v>
      </c>
      <c r="AM636">
        <v>0</v>
      </c>
      <c r="AN636">
        <v>0</v>
      </c>
      <c r="AO636">
        <v>0</v>
      </c>
      <c r="AP636" s="2">
        <v>42831</v>
      </c>
      <c r="AQ636" t="s">
        <v>72</v>
      </c>
      <c r="AR636" t="s">
        <v>72</v>
      </c>
      <c r="AS636">
        <v>315</v>
      </c>
      <c r="AT636" s="4">
        <v>42774</v>
      </c>
      <c r="AU636" t="s">
        <v>73</v>
      </c>
      <c r="AV636">
        <v>315</v>
      </c>
      <c r="AW636" s="4">
        <v>42774</v>
      </c>
      <c r="BD636">
        <v>0</v>
      </c>
      <c r="BN636" t="s">
        <v>74</v>
      </c>
    </row>
    <row r="637" spans="1:66">
      <c r="A637">
        <v>100741</v>
      </c>
      <c r="B637" t="s">
        <v>173</v>
      </c>
      <c r="C637" s="1">
        <v>43300101</v>
      </c>
      <c r="D637" t="s">
        <v>67</v>
      </c>
      <c r="H637" t="str">
        <f t="shared" si="76"/>
        <v>04676440631</v>
      </c>
      <c r="I637" t="str">
        <f t="shared" si="76"/>
        <v>04676440631</v>
      </c>
      <c r="K637" t="str">
        <f>""</f>
        <v/>
      </c>
      <c r="M637" t="s">
        <v>68</v>
      </c>
      <c r="N637" t="str">
        <f t="shared" si="75"/>
        <v>FOR</v>
      </c>
      <c r="O637" t="s">
        <v>69</v>
      </c>
      <c r="P637" t="s">
        <v>75</v>
      </c>
      <c r="Q637">
        <v>2016</v>
      </c>
      <c r="R637" s="4">
        <v>42459</v>
      </c>
      <c r="S637" s="2">
        <v>42472</v>
      </c>
      <c r="T637" s="2">
        <v>42471</v>
      </c>
      <c r="U637" s="4">
        <v>42531</v>
      </c>
      <c r="V637" t="s">
        <v>71</v>
      </c>
      <c r="W637" t="str">
        <f>"                  48"</f>
        <v xml:space="preserve">                  48</v>
      </c>
      <c r="X637" s="1">
        <v>14945</v>
      </c>
      <c r="Y637">
        <v>0</v>
      </c>
      <c r="Z637" s="5">
        <v>12250</v>
      </c>
      <c r="AA637" s="3">
        <v>243</v>
      </c>
      <c r="AB637" s="5">
        <v>2976750</v>
      </c>
      <c r="AC637" s="1">
        <v>12250</v>
      </c>
      <c r="AD637">
        <v>243</v>
      </c>
      <c r="AE637" s="1">
        <v>2976750</v>
      </c>
      <c r="AF637">
        <v>0</v>
      </c>
      <c r="AJ637">
        <v>0</v>
      </c>
      <c r="AK637">
        <v>0</v>
      </c>
      <c r="AL637">
        <v>0</v>
      </c>
      <c r="AM637">
        <v>0</v>
      </c>
      <c r="AN637">
        <v>0</v>
      </c>
      <c r="AO637">
        <v>0</v>
      </c>
      <c r="AP637" s="2">
        <v>42831</v>
      </c>
      <c r="AQ637" t="s">
        <v>72</v>
      </c>
      <c r="AR637" t="s">
        <v>72</v>
      </c>
      <c r="AS637">
        <v>315</v>
      </c>
      <c r="AT637" s="4">
        <v>42774</v>
      </c>
      <c r="AU637" t="s">
        <v>73</v>
      </c>
      <c r="AV637">
        <v>315</v>
      </c>
      <c r="AW637" s="4">
        <v>42774</v>
      </c>
      <c r="BD637">
        <v>0</v>
      </c>
      <c r="BN637" t="s">
        <v>74</v>
      </c>
    </row>
    <row r="638" spans="1:66">
      <c r="A638">
        <v>100741</v>
      </c>
      <c r="B638" t="s">
        <v>173</v>
      </c>
      <c r="C638" s="1">
        <v>43300101</v>
      </c>
      <c r="D638" t="s">
        <v>67</v>
      </c>
      <c r="H638" t="str">
        <f t="shared" si="76"/>
        <v>04676440631</v>
      </c>
      <c r="I638" t="str">
        <f t="shared" si="76"/>
        <v>04676440631</v>
      </c>
      <c r="K638" t="str">
        <f>""</f>
        <v/>
      </c>
      <c r="M638" t="s">
        <v>68</v>
      </c>
      <c r="N638" t="str">
        <f t="shared" si="75"/>
        <v>FOR</v>
      </c>
      <c r="O638" t="s">
        <v>69</v>
      </c>
      <c r="P638" t="s">
        <v>75</v>
      </c>
      <c r="Q638">
        <v>2016</v>
      </c>
      <c r="R638" s="4">
        <v>42472</v>
      </c>
      <c r="S638" s="2">
        <v>42478</v>
      </c>
      <c r="T638" s="2">
        <v>42478</v>
      </c>
      <c r="U638" s="4">
        <v>42538</v>
      </c>
      <c r="V638" t="s">
        <v>71</v>
      </c>
      <c r="W638" t="str">
        <f>"                  54"</f>
        <v xml:space="preserve">                  54</v>
      </c>
      <c r="X638" s="1">
        <v>22021</v>
      </c>
      <c r="Y638">
        <v>0</v>
      </c>
      <c r="Z638" s="5">
        <v>18050</v>
      </c>
      <c r="AA638" s="3">
        <v>263</v>
      </c>
      <c r="AB638" s="5">
        <v>4747150</v>
      </c>
      <c r="AC638" s="1">
        <v>18050</v>
      </c>
      <c r="AD638">
        <v>263</v>
      </c>
      <c r="AE638" s="1">
        <v>4747150</v>
      </c>
      <c r="AF638" s="1">
        <v>3971</v>
      </c>
      <c r="AJ638">
        <v>0</v>
      </c>
      <c r="AK638">
        <v>0</v>
      </c>
      <c r="AL638">
        <v>0</v>
      </c>
      <c r="AM638">
        <v>0</v>
      </c>
      <c r="AN638">
        <v>0</v>
      </c>
      <c r="AO638">
        <v>0</v>
      </c>
      <c r="AP638" s="2">
        <v>42831</v>
      </c>
      <c r="AQ638" t="s">
        <v>72</v>
      </c>
      <c r="AR638" t="s">
        <v>72</v>
      </c>
      <c r="AS638">
        <v>745</v>
      </c>
      <c r="AT638" s="4">
        <v>42801</v>
      </c>
      <c r="AU638" t="s">
        <v>73</v>
      </c>
      <c r="AV638">
        <v>745</v>
      </c>
      <c r="AW638" s="4">
        <v>42801</v>
      </c>
      <c r="BD638" s="1">
        <v>3971</v>
      </c>
      <c r="BN638" t="s">
        <v>74</v>
      </c>
    </row>
    <row r="639" spans="1:66" hidden="1">
      <c r="A639">
        <v>100761</v>
      </c>
      <c r="B639" t="s">
        <v>174</v>
      </c>
      <c r="C639" s="1">
        <v>43500101</v>
      </c>
      <c r="D639" t="s">
        <v>98</v>
      </c>
      <c r="H639" t="str">
        <f t="shared" ref="H639:I641" si="77">"00317760379"</f>
        <v>00317760379</v>
      </c>
      <c r="I639" t="str">
        <f t="shared" si="77"/>
        <v>00317760379</v>
      </c>
      <c r="K639" t="str">
        <f>""</f>
        <v/>
      </c>
      <c r="M639" t="s">
        <v>68</v>
      </c>
      <c r="N639" t="str">
        <f>"ALTFIN"</f>
        <v>ALTFIN</v>
      </c>
      <c r="O639" t="s">
        <v>102</v>
      </c>
      <c r="P639" t="s">
        <v>82</v>
      </c>
      <c r="Q639">
        <v>2017</v>
      </c>
      <c r="R639" s="4">
        <v>42755</v>
      </c>
      <c r="S639" s="2">
        <v>42755</v>
      </c>
      <c r="T639" s="2">
        <v>42755</v>
      </c>
      <c r="U639" s="4">
        <v>42815</v>
      </c>
      <c r="V639" t="s">
        <v>71</v>
      </c>
      <c r="W639" t="str">
        <f>"                0120"</f>
        <v xml:space="preserve">                0120</v>
      </c>
      <c r="X639">
        <v>0</v>
      </c>
      <c r="Y639" s="1">
        <v>2698</v>
      </c>
      <c r="Z639" s="5">
        <v>2698</v>
      </c>
      <c r="AA639" s="3">
        <v>-57</v>
      </c>
      <c r="AB639" s="5">
        <v>-153786</v>
      </c>
      <c r="AC639" s="1">
        <v>2698</v>
      </c>
      <c r="AD639">
        <v>-57</v>
      </c>
      <c r="AE639" s="1">
        <v>-153786</v>
      </c>
      <c r="AF639">
        <v>0</v>
      </c>
      <c r="AJ639" s="1">
        <v>2698</v>
      </c>
      <c r="AK639" s="1">
        <v>2698</v>
      </c>
      <c r="AL639" s="1">
        <v>2698</v>
      </c>
      <c r="AM639" s="1">
        <v>2698</v>
      </c>
      <c r="AN639" s="1">
        <v>2698</v>
      </c>
      <c r="AO639" s="1">
        <v>2698</v>
      </c>
      <c r="AP639" s="2">
        <v>42831</v>
      </c>
      <c r="AQ639" t="s">
        <v>72</v>
      </c>
      <c r="AR639" t="s">
        <v>72</v>
      </c>
      <c r="AS639">
        <v>34</v>
      </c>
      <c r="AT639" s="4">
        <v>42758</v>
      </c>
      <c r="AV639">
        <v>34</v>
      </c>
      <c r="AW639" s="4">
        <v>42758</v>
      </c>
      <c r="BD639">
        <v>0</v>
      </c>
      <c r="BN639" t="s">
        <v>74</v>
      </c>
    </row>
    <row r="640" spans="1:66" hidden="1">
      <c r="A640">
        <v>100761</v>
      </c>
      <c r="B640" t="s">
        <v>174</v>
      </c>
      <c r="C640" s="1">
        <v>43500101</v>
      </c>
      <c r="D640" t="s">
        <v>98</v>
      </c>
      <c r="H640" t="str">
        <f t="shared" si="77"/>
        <v>00317760379</v>
      </c>
      <c r="I640" t="str">
        <f t="shared" si="77"/>
        <v>00317760379</v>
      </c>
      <c r="K640" t="str">
        <f>""</f>
        <v/>
      </c>
      <c r="M640" t="s">
        <v>68</v>
      </c>
      <c r="N640" t="str">
        <f>"ALTFIN"</f>
        <v>ALTFIN</v>
      </c>
      <c r="O640" t="s">
        <v>102</v>
      </c>
      <c r="P640" t="s">
        <v>83</v>
      </c>
      <c r="Q640">
        <v>2017</v>
      </c>
      <c r="R640" s="4">
        <v>42786</v>
      </c>
      <c r="S640" s="2">
        <v>42787</v>
      </c>
      <c r="T640" s="2">
        <v>42787</v>
      </c>
      <c r="U640" s="4">
        <v>42847</v>
      </c>
      <c r="V640" t="s">
        <v>71</v>
      </c>
      <c r="W640" t="str">
        <f>"                0220"</f>
        <v xml:space="preserve">                0220</v>
      </c>
      <c r="X640">
        <v>0</v>
      </c>
      <c r="Y640" s="1">
        <v>2698</v>
      </c>
      <c r="Z640" s="5">
        <v>2698</v>
      </c>
      <c r="AA640" s="3">
        <v>-60</v>
      </c>
      <c r="AB640" s="5">
        <v>-161880</v>
      </c>
      <c r="AC640" s="1">
        <v>2698</v>
      </c>
      <c r="AD640">
        <v>-60</v>
      </c>
      <c r="AE640" s="1">
        <v>-161880</v>
      </c>
      <c r="AF640">
        <v>0</v>
      </c>
      <c r="AJ640" s="1">
        <v>2698</v>
      </c>
      <c r="AK640" s="1">
        <v>2698</v>
      </c>
      <c r="AL640" s="1">
        <v>2698</v>
      </c>
      <c r="AM640" s="1">
        <v>2698</v>
      </c>
      <c r="AN640" s="1">
        <v>2698</v>
      </c>
      <c r="AO640" s="1">
        <v>2698</v>
      </c>
      <c r="AP640" s="2">
        <v>42831</v>
      </c>
      <c r="AQ640" t="s">
        <v>72</v>
      </c>
      <c r="AR640" t="s">
        <v>72</v>
      </c>
      <c r="AS640">
        <v>514</v>
      </c>
      <c r="AT640" s="4">
        <v>42787</v>
      </c>
      <c r="AV640">
        <v>514</v>
      </c>
      <c r="AW640" s="4">
        <v>42787</v>
      </c>
      <c r="BD640">
        <v>0</v>
      </c>
      <c r="BN640" t="s">
        <v>74</v>
      </c>
    </row>
    <row r="641" spans="1:66" hidden="1">
      <c r="A641">
        <v>100761</v>
      </c>
      <c r="B641" t="s">
        <v>174</v>
      </c>
      <c r="C641" s="1">
        <v>43500101</v>
      </c>
      <c r="D641" t="s">
        <v>98</v>
      </c>
      <c r="H641" t="str">
        <f t="shared" si="77"/>
        <v>00317760379</v>
      </c>
      <c r="I641" t="str">
        <f t="shared" si="77"/>
        <v>00317760379</v>
      </c>
      <c r="K641" t="str">
        <f>""</f>
        <v/>
      </c>
      <c r="M641" t="s">
        <v>68</v>
      </c>
      <c r="N641" t="str">
        <f>"ALTFIN"</f>
        <v>ALTFIN</v>
      </c>
      <c r="O641" t="s">
        <v>102</v>
      </c>
      <c r="P641" t="s">
        <v>84</v>
      </c>
      <c r="Q641">
        <v>2017</v>
      </c>
      <c r="R641" s="4">
        <v>42815</v>
      </c>
      <c r="S641" s="2">
        <v>42815</v>
      </c>
      <c r="T641" s="2">
        <v>42815</v>
      </c>
      <c r="U641" s="4">
        <v>42875</v>
      </c>
      <c r="V641" t="s">
        <v>71</v>
      </c>
      <c r="W641" t="str">
        <f>"                0321"</f>
        <v xml:space="preserve">                0321</v>
      </c>
      <c r="X641">
        <v>0</v>
      </c>
      <c r="Y641" s="1">
        <v>2698</v>
      </c>
      <c r="Z641" s="5">
        <v>2698</v>
      </c>
      <c r="AA641" s="3">
        <v>-60</v>
      </c>
      <c r="AB641" s="5">
        <v>-161880</v>
      </c>
      <c r="AC641" s="1">
        <v>2698</v>
      </c>
      <c r="AD641">
        <v>-60</v>
      </c>
      <c r="AE641" s="1">
        <v>-161880</v>
      </c>
      <c r="AF641">
        <v>0</v>
      </c>
      <c r="AJ641" s="1">
        <v>2698</v>
      </c>
      <c r="AK641" s="1">
        <v>2698</v>
      </c>
      <c r="AL641" s="1">
        <v>2698</v>
      </c>
      <c r="AM641" s="1">
        <v>2698</v>
      </c>
      <c r="AN641" s="1">
        <v>2698</v>
      </c>
      <c r="AO641" s="1">
        <v>2698</v>
      </c>
      <c r="AP641" s="2">
        <v>42831</v>
      </c>
      <c r="AQ641" t="s">
        <v>72</v>
      </c>
      <c r="AR641" t="s">
        <v>72</v>
      </c>
      <c r="AS641">
        <v>811</v>
      </c>
      <c r="AT641" s="4">
        <v>42815</v>
      </c>
      <c r="AV641">
        <v>811</v>
      </c>
      <c r="AW641" s="4">
        <v>42815</v>
      </c>
      <c r="BD641">
        <v>0</v>
      </c>
      <c r="BN641" t="s">
        <v>74</v>
      </c>
    </row>
    <row r="642" spans="1:66">
      <c r="A642">
        <v>100774</v>
      </c>
      <c r="B642" t="s">
        <v>175</v>
      </c>
      <c r="C642" s="1">
        <v>43300101</v>
      </c>
      <c r="D642" t="s">
        <v>67</v>
      </c>
      <c r="H642" t="str">
        <f t="shared" ref="H642:I646" si="78">"04526141215"</f>
        <v>04526141215</v>
      </c>
      <c r="I642" t="str">
        <f t="shared" si="78"/>
        <v>04526141215</v>
      </c>
      <c r="K642" t="str">
        <f>""</f>
        <v/>
      </c>
      <c r="M642" t="s">
        <v>68</v>
      </c>
      <c r="N642" t="str">
        <f t="shared" ref="N642:N668" si="79">"FOR"</f>
        <v>FOR</v>
      </c>
      <c r="O642" t="s">
        <v>69</v>
      </c>
      <c r="P642" t="s">
        <v>75</v>
      </c>
      <c r="Q642">
        <v>2016</v>
      </c>
      <c r="R642" s="4">
        <v>42590</v>
      </c>
      <c r="S642" s="2">
        <v>42640</v>
      </c>
      <c r="T642" s="2">
        <v>42626</v>
      </c>
      <c r="U642" s="4">
        <v>42686</v>
      </c>
      <c r="V642" t="s">
        <v>71</v>
      </c>
      <c r="W642" t="str">
        <f>"                 379"</f>
        <v xml:space="preserve">                 379</v>
      </c>
      <c r="X642" s="1">
        <v>3285.22</v>
      </c>
      <c r="Y642">
        <v>0</v>
      </c>
      <c r="Z642" s="5">
        <v>2692.8</v>
      </c>
      <c r="AA642" s="3">
        <v>82</v>
      </c>
      <c r="AB642" s="5">
        <v>220809.60000000001</v>
      </c>
      <c r="AC642" s="1">
        <v>2692.8</v>
      </c>
      <c r="AD642">
        <v>82</v>
      </c>
      <c r="AE642" s="1">
        <v>220809.60000000001</v>
      </c>
      <c r="AF642">
        <v>0</v>
      </c>
      <c r="AJ642">
        <v>0</v>
      </c>
      <c r="AK642">
        <v>0</v>
      </c>
      <c r="AL642">
        <v>0</v>
      </c>
      <c r="AM642">
        <v>0</v>
      </c>
      <c r="AN642">
        <v>0</v>
      </c>
      <c r="AO642">
        <v>0</v>
      </c>
      <c r="AP642" s="2">
        <v>42831</v>
      </c>
      <c r="AQ642" t="s">
        <v>72</v>
      </c>
      <c r="AR642" t="s">
        <v>72</v>
      </c>
      <c r="AS642">
        <v>235</v>
      </c>
      <c r="AT642" s="4">
        <v>42768</v>
      </c>
      <c r="AU642" t="s">
        <v>73</v>
      </c>
      <c r="AV642">
        <v>235</v>
      </c>
      <c r="AW642" s="4">
        <v>42768</v>
      </c>
      <c r="BD642">
        <v>0</v>
      </c>
      <c r="BN642" t="s">
        <v>74</v>
      </c>
    </row>
    <row r="643" spans="1:66">
      <c r="A643">
        <v>100774</v>
      </c>
      <c r="B643" t="s">
        <v>175</v>
      </c>
      <c r="C643" s="1">
        <v>43300101</v>
      </c>
      <c r="D643" t="s">
        <v>67</v>
      </c>
      <c r="H643" t="str">
        <f t="shared" si="78"/>
        <v>04526141215</v>
      </c>
      <c r="I643" t="str">
        <f t="shared" si="78"/>
        <v>04526141215</v>
      </c>
      <c r="K643" t="str">
        <f>""</f>
        <v/>
      </c>
      <c r="M643" t="s">
        <v>68</v>
      </c>
      <c r="N643" t="str">
        <f t="shared" si="79"/>
        <v>FOR</v>
      </c>
      <c r="O643" t="s">
        <v>69</v>
      </c>
      <c r="P643" t="s">
        <v>75</v>
      </c>
      <c r="Q643">
        <v>2016</v>
      </c>
      <c r="R643" s="4">
        <v>42593</v>
      </c>
      <c r="S643" s="2">
        <v>42640</v>
      </c>
      <c r="T643" s="2">
        <v>42625</v>
      </c>
      <c r="U643" s="4">
        <v>42685</v>
      </c>
      <c r="V643" t="s">
        <v>71</v>
      </c>
      <c r="W643" t="str">
        <f>"                 384"</f>
        <v xml:space="preserve">                 384</v>
      </c>
      <c r="X643" s="1">
        <v>2196</v>
      </c>
      <c r="Y643">
        <v>0</v>
      </c>
      <c r="Z643" s="5">
        <v>1800</v>
      </c>
      <c r="AA643" s="3">
        <v>83</v>
      </c>
      <c r="AB643" s="5">
        <v>149400</v>
      </c>
      <c r="AC643" s="1">
        <v>1800</v>
      </c>
      <c r="AD643">
        <v>83</v>
      </c>
      <c r="AE643" s="1">
        <v>149400</v>
      </c>
      <c r="AF643">
        <v>0</v>
      </c>
      <c r="AJ643">
        <v>0</v>
      </c>
      <c r="AK643">
        <v>0</v>
      </c>
      <c r="AL643">
        <v>0</v>
      </c>
      <c r="AM643">
        <v>0</v>
      </c>
      <c r="AN643">
        <v>0</v>
      </c>
      <c r="AO643">
        <v>0</v>
      </c>
      <c r="AP643" s="2">
        <v>42831</v>
      </c>
      <c r="AQ643" t="s">
        <v>72</v>
      </c>
      <c r="AR643" t="s">
        <v>72</v>
      </c>
      <c r="AS643">
        <v>235</v>
      </c>
      <c r="AT643" s="4">
        <v>42768</v>
      </c>
      <c r="AU643" t="s">
        <v>73</v>
      </c>
      <c r="AV643">
        <v>235</v>
      </c>
      <c r="AW643" s="4">
        <v>42768</v>
      </c>
      <c r="BD643">
        <v>0</v>
      </c>
      <c r="BN643" t="s">
        <v>74</v>
      </c>
    </row>
    <row r="644" spans="1:66">
      <c r="A644">
        <v>100774</v>
      </c>
      <c r="B644" t="s">
        <v>175</v>
      </c>
      <c r="C644" s="1">
        <v>43300101</v>
      </c>
      <c r="D644" t="s">
        <v>67</v>
      </c>
      <c r="H644" t="str">
        <f t="shared" si="78"/>
        <v>04526141215</v>
      </c>
      <c r="I644" t="str">
        <f t="shared" si="78"/>
        <v>04526141215</v>
      </c>
      <c r="K644" t="str">
        <f>""</f>
        <v/>
      </c>
      <c r="M644" t="s">
        <v>68</v>
      </c>
      <c r="N644" t="str">
        <f t="shared" si="79"/>
        <v>FOR</v>
      </c>
      <c r="O644" t="s">
        <v>69</v>
      </c>
      <c r="P644" t="s">
        <v>75</v>
      </c>
      <c r="Q644">
        <v>2016</v>
      </c>
      <c r="R644" s="4">
        <v>42647</v>
      </c>
      <c r="S644" s="2">
        <v>42696</v>
      </c>
      <c r="T644" s="2">
        <v>42695</v>
      </c>
      <c r="U644" s="4">
        <v>42755</v>
      </c>
      <c r="V644" t="s">
        <v>71</v>
      </c>
      <c r="W644" t="str">
        <f>"                 452"</f>
        <v xml:space="preserve">                 452</v>
      </c>
      <c r="X644" s="1">
        <v>1830</v>
      </c>
      <c r="Y644">
        <v>0</v>
      </c>
      <c r="Z644" s="5">
        <v>1500</v>
      </c>
      <c r="AA644" s="3">
        <v>27</v>
      </c>
      <c r="AB644" s="5">
        <v>40500</v>
      </c>
      <c r="AC644" s="1">
        <v>1500</v>
      </c>
      <c r="AD644">
        <v>27</v>
      </c>
      <c r="AE644" s="1">
        <v>40500</v>
      </c>
      <c r="AF644">
        <v>0</v>
      </c>
      <c r="AJ644">
        <v>0</v>
      </c>
      <c r="AK644">
        <v>0</v>
      </c>
      <c r="AL644">
        <v>0</v>
      </c>
      <c r="AM644">
        <v>0</v>
      </c>
      <c r="AN644">
        <v>0</v>
      </c>
      <c r="AO644">
        <v>0</v>
      </c>
      <c r="AP644" s="2">
        <v>42831</v>
      </c>
      <c r="AQ644" t="s">
        <v>72</v>
      </c>
      <c r="AR644" t="s">
        <v>72</v>
      </c>
      <c r="AS644">
        <v>463</v>
      </c>
      <c r="AT644" s="4">
        <v>42782</v>
      </c>
      <c r="AU644" t="s">
        <v>73</v>
      </c>
      <c r="AV644">
        <v>463</v>
      </c>
      <c r="AW644" s="4">
        <v>42782</v>
      </c>
      <c r="BD644">
        <v>0</v>
      </c>
      <c r="BN644" t="s">
        <v>74</v>
      </c>
    </row>
    <row r="645" spans="1:66">
      <c r="A645">
        <v>100774</v>
      </c>
      <c r="B645" t="s">
        <v>175</v>
      </c>
      <c r="C645" s="1">
        <v>43300101</v>
      </c>
      <c r="D645" t="s">
        <v>67</v>
      </c>
      <c r="H645" t="str">
        <f t="shared" si="78"/>
        <v>04526141215</v>
      </c>
      <c r="I645" t="str">
        <f t="shared" si="78"/>
        <v>04526141215</v>
      </c>
      <c r="K645" t="str">
        <f>""</f>
        <v/>
      </c>
      <c r="M645" t="s">
        <v>68</v>
      </c>
      <c r="N645" t="str">
        <f t="shared" si="79"/>
        <v>FOR</v>
      </c>
      <c r="O645" t="s">
        <v>69</v>
      </c>
      <c r="P645" t="s">
        <v>75</v>
      </c>
      <c r="Q645">
        <v>2016</v>
      </c>
      <c r="R645" s="4">
        <v>42677</v>
      </c>
      <c r="S645" s="2">
        <v>42718</v>
      </c>
      <c r="T645" s="2">
        <v>42717</v>
      </c>
      <c r="U645" s="4">
        <v>42777</v>
      </c>
      <c r="V645" t="s">
        <v>71</v>
      </c>
      <c r="W645" t="str">
        <f>"                 504"</f>
        <v xml:space="preserve">                 504</v>
      </c>
      <c r="X645" s="1">
        <v>1708</v>
      </c>
      <c r="Y645">
        <v>0</v>
      </c>
      <c r="Z645" s="5">
        <v>1400</v>
      </c>
      <c r="AA645" s="3">
        <v>5</v>
      </c>
      <c r="AB645" s="5">
        <v>7000</v>
      </c>
      <c r="AC645" s="1">
        <v>1400</v>
      </c>
      <c r="AD645">
        <v>5</v>
      </c>
      <c r="AE645" s="1">
        <v>7000</v>
      </c>
      <c r="AF645">
        <v>0</v>
      </c>
      <c r="AJ645">
        <v>0</v>
      </c>
      <c r="AK645">
        <v>0</v>
      </c>
      <c r="AL645">
        <v>0</v>
      </c>
      <c r="AM645">
        <v>0</v>
      </c>
      <c r="AN645">
        <v>0</v>
      </c>
      <c r="AO645">
        <v>0</v>
      </c>
      <c r="AP645" s="2">
        <v>42831</v>
      </c>
      <c r="AQ645" t="s">
        <v>72</v>
      </c>
      <c r="AR645" t="s">
        <v>72</v>
      </c>
      <c r="AS645">
        <v>463</v>
      </c>
      <c r="AT645" s="4">
        <v>42782</v>
      </c>
      <c r="AU645" t="s">
        <v>73</v>
      </c>
      <c r="AV645">
        <v>463</v>
      </c>
      <c r="AW645" s="4">
        <v>42782</v>
      </c>
      <c r="BD645">
        <v>0</v>
      </c>
      <c r="BN645" t="s">
        <v>74</v>
      </c>
    </row>
    <row r="646" spans="1:66">
      <c r="A646">
        <v>100774</v>
      </c>
      <c r="B646" t="s">
        <v>175</v>
      </c>
      <c r="C646" s="1">
        <v>43300101</v>
      </c>
      <c r="D646" t="s">
        <v>67</v>
      </c>
      <c r="H646" t="str">
        <f t="shared" si="78"/>
        <v>04526141215</v>
      </c>
      <c r="I646" t="str">
        <f t="shared" si="78"/>
        <v>04526141215</v>
      </c>
      <c r="K646" t="str">
        <f>""</f>
        <v/>
      </c>
      <c r="M646" t="s">
        <v>68</v>
      </c>
      <c r="N646" t="str">
        <f t="shared" si="79"/>
        <v>FOR</v>
      </c>
      <c r="O646" t="s">
        <v>69</v>
      </c>
      <c r="P646" t="s">
        <v>75</v>
      </c>
      <c r="Q646">
        <v>2016</v>
      </c>
      <c r="R646" s="4">
        <v>42683</v>
      </c>
      <c r="S646" s="2">
        <v>42718</v>
      </c>
      <c r="T646" s="2">
        <v>42717</v>
      </c>
      <c r="U646" s="4">
        <v>42777</v>
      </c>
      <c r="V646" t="s">
        <v>71</v>
      </c>
      <c r="W646" t="str">
        <f>"                 512"</f>
        <v xml:space="preserve">                 512</v>
      </c>
      <c r="X646">
        <v>854</v>
      </c>
      <c r="Y646">
        <v>0</v>
      </c>
      <c r="Z646" s="5">
        <v>700</v>
      </c>
      <c r="AA646" s="3">
        <v>5</v>
      </c>
      <c r="AB646" s="5">
        <v>3500</v>
      </c>
      <c r="AC646">
        <v>700</v>
      </c>
      <c r="AD646">
        <v>5</v>
      </c>
      <c r="AE646" s="1">
        <v>3500</v>
      </c>
      <c r="AF646">
        <v>0</v>
      </c>
      <c r="AJ646">
        <v>0</v>
      </c>
      <c r="AK646">
        <v>0</v>
      </c>
      <c r="AL646">
        <v>0</v>
      </c>
      <c r="AM646">
        <v>0</v>
      </c>
      <c r="AN646">
        <v>0</v>
      </c>
      <c r="AO646">
        <v>0</v>
      </c>
      <c r="AP646" s="2">
        <v>42831</v>
      </c>
      <c r="AQ646" t="s">
        <v>72</v>
      </c>
      <c r="AR646" t="s">
        <v>72</v>
      </c>
      <c r="AS646">
        <v>463</v>
      </c>
      <c r="AT646" s="4">
        <v>42782</v>
      </c>
      <c r="AU646" t="s">
        <v>73</v>
      </c>
      <c r="AV646">
        <v>463</v>
      </c>
      <c r="AW646" s="4">
        <v>42782</v>
      </c>
      <c r="BD646">
        <v>0</v>
      </c>
      <c r="BN646" t="s">
        <v>74</v>
      </c>
    </row>
    <row r="647" spans="1:66">
      <c r="A647">
        <v>100787</v>
      </c>
      <c r="B647" t="s">
        <v>176</v>
      </c>
      <c r="C647" s="1">
        <v>43300101</v>
      </c>
      <c r="D647" t="s">
        <v>67</v>
      </c>
      <c r="H647" t="str">
        <f t="shared" ref="H647:H655" si="80">"CRDPIA44R47A783H"</f>
        <v>CRDPIA44R47A783H</v>
      </c>
      <c r="I647" t="str">
        <f t="shared" ref="I647:I655" si="81">"00157320623"</f>
        <v>00157320623</v>
      </c>
      <c r="K647" t="str">
        <f>""</f>
        <v/>
      </c>
      <c r="M647" t="s">
        <v>68</v>
      </c>
      <c r="N647" t="str">
        <f t="shared" si="79"/>
        <v>FOR</v>
      </c>
      <c r="O647" t="s">
        <v>69</v>
      </c>
      <c r="P647" t="s">
        <v>75</v>
      </c>
      <c r="Q647">
        <v>2016</v>
      </c>
      <c r="R647" s="4">
        <v>42581</v>
      </c>
      <c r="S647" s="2">
        <v>42584</v>
      </c>
      <c r="T647" s="2">
        <v>42583</v>
      </c>
      <c r="U647" s="4">
        <v>42643</v>
      </c>
      <c r="V647" t="s">
        <v>71</v>
      </c>
      <c r="W647" t="str">
        <f>"              168/PA"</f>
        <v xml:space="preserve">              168/PA</v>
      </c>
      <c r="X647">
        <v>123.5</v>
      </c>
      <c r="Y647">
        <v>0</v>
      </c>
      <c r="Z647" s="5">
        <v>101.23</v>
      </c>
      <c r="AA647" s="3">
        <v>129</v>
      </c>
      <c r="AB647" s="5">
        <v>13058.67</v>
      </c>
      <c r="AC647">
        <v>101.23</v>
      </c>
      <c r="AD647">
        <v>129</v>
      </c>
      <c r="AE647" s="1">
        <v>13058.67</v>
      </c>
      <c r="AF647">
        <v>22.27</v>
      </c>
      <c r="AJ647">
        <v>0</v>
      </c>
      <c r="AK647">
        <v>0</v>
      </c>
      <c r="AL647">
        <v>0</v>
      </c>
      <c r="AM647">
        <v>0</v>
      </c>
      <c r="AN647">
        <v>0</v>
      </c>
      <c r="AO647">
        <v>0</v>
      </c>
      <c r="AP647" s="2">
        <v>42831</v>
      </c>
      <c r="AQ647" t="s">
        <v>72</v>
      </c>
      <c r="AR647" t="s">
        <v>72</v>
      </c>
      <c r="AS647">
        <v>292</v>
      </c>
      <c r="AT647" s="4">
        <v>42772</v>
      </c>
      <c r="AU647" t="s">
        <v>73</v>
      </c>
      <c r="AV647">
        <v>292</v>
      </c>
      <c r="AW647" s="4">
        <v>42772</v>
      </c>
      <c r="BD647">
        <v>22.27</v>
      </c>
      <c r="BN647" t="s">
        <v>74</v>
      </c>
    </row>
    <row r="648" spans="1:66">
      <c r="A648">
        <v>100787</v>
      </c>
      <c r="B648" t="s">
        <v>176</v>
      </c>
      <c r="C648" s="1">
        <v>43300101</v>
      </c>
      <c r="D648" t="s">
        <v>67</v>
      </c>
      <c r="H648" t="str">
        <f t="shared" si="80"/>
        <v>CRDPIA44R47A783H</v>
      </c>
      <c r="I648" t="str">
        <f t="shared" si="81"/>
        <v>00157320623</v>
      </c>
      <c r="K648" t="str">
        <f>""</f>
        <v/>
      </c>
      <c r="M648" t="s">
        <v>68</v>
      </c>
      <c r="N648" t="str">
        <f t="shared" si="79"/>
        <v>FOR</v>
      </c>
      <c r="O648" t="s">
        <v>69</v>
      </c>
      <c r="P648" t="s">
        <v>75</v>
      </c>
      <c r="Q648">
        <v>2016</v>
      </c>
      <c r="R648" s="4">
        <v>42581</v>
      </c>
      <c r="S648" s="2">
        <v>42584</v>
      </c>
      <c r="T648" s="2">
        <v>42583</v>
      </c>
      <c r="U648" s="4">
        <v>42643</v>
      </c>
      <c r="V648" t="s">
        <v>71</v>
      </c>
      <c r="W648" t="str">
        <f>"              169/PA"</f>
        <v xml:space="preserve">              169/PA</v>
      </c>
      <c r="X648">
        <v>319.01</v>
      </c>
      <c r="Y648">
        <v>0</v>
      </c>
      <c r="Z648" s="5">
        <v>261.48</v>
      </c>
      <c r="AA648" s="3">
        <v>129</v>
      </c>
      <c r="AB648" s="5">
        <v>33730.92</v>
      </c>
      <c r="AC648">
        <v>261.48</v>
      </c>
      <c r="AD648">
        <v>129</v>
      </c>
      <c r="AE648" s="1">
        <v>33730.92</v>
      </c>
      <c r="AF648">
        <v>57.53</v>
      </c>
      <c r="AJ648">
        <v>0</v>
      </c>
      <c r="AK648">
        <v>0</v>
      </c>
      <c r="AL648">
        <v>0</v>
      </c>
      <c r="AM648">
        <v>0</v>
      </c>
      <c r="AN648">
        <v>0</v>
      </c>
      <c r="AO648">
        <v>0</v>
      </c>
      <c r="AP648" s="2">
        <v>42831</v>
      </c>
      <c r="AQ648" t="s">
        <v>72</v>
      </c>
      <c r="AR648" t="s">
        <v>72</v>
      </c>
      <c r="AS648">
        <v>292</v>
      </c>
      <c r="AT648" s="4">
        <v>42772</v>
      </c>
      <c r="AU648" t="s">
        <v>73</v>
      </c>
      <c r="AV648">
        <v>292</v>
      </c>
      <c r="AW648" s="4">
        <v>42772</v>
      </c>
      <c r="BD648">
        <v>57.53</v>
      </c>
      <c r="BN648" t="s">
        <v>74</v>
      </c>
    </row>
    <row r="649" spans="1:66">
      <c r="A649">
        <v>100787</v>
      </c>
      <c r="B649" t="s">
        <v>176</v>
      </c>
      <c r="C649" s="1">
        <v>43300101</v>
      </c>
      <c r="D649" t="s">
        <v>67</v>
      </c>
      <c r="H649" t="str">
        <f t="shared" si="80"/>
        <v>CRDPIA44R47A783H</v>
      </c>
      <c r="I649" t="str">
        <f t="shared" si="81"/>
        <v>00157320623</v>
      </c>
      <c r="K649" t="str">
        <f>""</f>
        <v/>
      </c>
      <c r="M649" t="s">
        <v>68</v>
      </c>
      <c r="N649" t="str">
        <f t="shared" si="79"/>
        <v>FOR</v>
      </c>
      <c r="O649" t="s">
        <v>69</v>
      </c>
      <c r="P649" t="s">
        <v>75</v>
      </c>
      <c r="Q649">
        <v>2016</v>
      </c>
      <c r="R649" s="4">
        <v>42625</v>
      </c>
      <c r="S649" s="2">
        <v>42626</v>
      </c>
      <c r="T649" s="2">
        <v>42626</v>
      </c>
      <c r="U649" s="4">
        <v>42686</v>
      </c>
      <c r="V649" t="s">
        <v>71</v>
      </c>
      <c r="W649" t="str">
        <f>"              190/PA"</f>
        <v xml:space="preserve">              190/PA</v>
      </c>
      <c r="X649">
        <v>48.19</v>
      </c>
      <c r="Y649">
        <v>0</v>
      </c>
      <c r="Z649" s="5">
        <v>44.43</v>
      </c>
      <c r="AA649" s="3">
        <v>86</v>
      </c>
      <c r="AB649" s="5">
        <v>3820.98</v>
      </c>
      <c r="AC649">
        <v>44.43</v>
      </c>
      <c r="AD649">
        <v>86</v>
      </c>
      <c r="AE649" s="1">
        <v>3820.98</v>
      </c>
      <c r="AF649">
        <v>3.76</v>
      </c>
      <c r="AJ649">
        <v>0</v>
      </c>
      <c r="AK649">
        <v>0</v>
      </c>
      <c r="AL649">
        <v>0</v>
      </c>
      <c r="AM649">
        <v>0</v>
      </c>
      <c r="AN649">
        <v>0</v>
      </c>
      <c r="AO649">
        <v>0</v>
      </c>
      <c r="AP649" s="2">
        <v>42831</v>
      </c>
      <c r="AQ649" t="s">
        <v>72</v>
      </c>
      <c r="AR649" t="s">
        <v>72</v>
      </c>
      <c r="AS649">
        <v>293</v>
      </c>
      <c r="AT649" s="4">
        <v>42772</v>
      </c>
      <c r="AU649" t="s">
        <v>73</v>
      </c>
      <c r="AV649">
        <v>293</v>
      </c>
      <c r="AW649" s="4">
        <v>42772</v>
      </c>
      <c r="BB649">
        <v>3.76</v>
      </c>
      <c r="BD649">
        <v>0</v>
      </c>
      <c r="BN649" t="s">
        <v>74</v>
      </c>
    </row>
    <row r="650" spans="1:66">
      <c r="A650">
        <v>100787</v>
      </c>
      <c r="B650" t="s">
        <v>176</v>
      </c>
      <c r="C650" s="1">
        <v>43300101</v>
      </c>
      <c r="D650" t="s">
        <v>67</v>
      </c>
      <c r="H650" t="str">
        <f t="shared" si="80"/>
        <v>CRDPIA44R47A783H</v>
      </c>
      <c r="I650" t="str">
        <f t="shared" si="81"/>
        <v>00157320623</v>
      </c>
      <c r="K650" t="str">
        <f>""</f>
        <v/>
      </c>
      <c r="M650" t="s">
        <v>68</v>
      </c>
      <c r="N650" t="str">
        <f t="shared" si="79"/>
        <v>FOR</v>
      </c>
      <c r="O650" t="s">
        <v>69</v>
      </c>
      <c r="P650" t="s">
        <v>75</v>
      </c>
      <c r="Q650">
        <v>2016</v>
      </c>
      <c r="R650" s="4">
        <v>42625</v>
      </c>
      <c r="S650" s="2">
        <v>42626</v>
      </c>
      <c r="T650" s="2">
        <v>42626</v>
      </c>
      <c r="U650" s="4">
        <v>42686</v>
      </c>
      <c r="V650" t="s">
        <v>71</v>
      </c>
      <c r="W650" t="str">
        <f>"              191/PA"</f>
        <v xml:space="preserve">              191/PA</v>
      </c>
      <c r="X650">
        <v>15.81</v>
      </c>
      <c r="Y650">
        <v>0</v>
      </c>
      <c r="Z650" s="5">
        <v>12.96</v>
      </c>
      <c r="AA650" s="3">
        <v>86</v>
      </c>
      <c r="AB650" s="5">
        <v>1114.56</v>
      </c>
      <c r="AC650">
        <v>12.96</v>
      </c>
      <c r="AD650">
        <v>86</v>
      </c>
      <c r="AE650" s="1">
        <v>1114.56</v>
      </c>
      <c r="AF650">
        <v>2.85</v>
      </c>
      <c r="AJ650">
        <v>0</v>
      </c>
      <c r="AK650">
        <v>0</v>
      </c>
      <c r="AL650">
        <v>0</v>
      </c>
      <c r="AM650">
        <v>0</v>
      </c>
      <c r="AN650">
        <v>0</v>
      </c>
      <c r="AO650">
        <v>0</v>
      </c>
      <c r="AP650" s="2">
        <v>42831</v>
      </c>
      <c r="AQ650" t="s">
        <v>72</v>
      </c>
      <c r="AR650" t="s">
        <v>72</v>
      </c>
      <c r="AS650">
        <v>292</v>
      </c>
      <c r="AT650" s="4">
        <v>42772</v>
      </c>
      <c r="AU650" t="s">
        <v>73</v>
      </c>
      <c r="AV650">
        <v>292</v>
      </c>
      <c r="AW650" s="4">
        <v>42772</v>
      </c>
      <c r="BB650">
        <v>2.85</v>
      </c>
      <c r="BD650">
        <v>0</v>
      </c>
      <c r="BN650" t="s">
        <v>74</v>
      </c>
    </row>
    <row r="651" spans="1:66">
      <c r="A651">
        <v>100787</v>
      </c>
      <c r="B651" t="s">
        <v>176</v>
      </c>
      <c r="C651" s="1">
        <v>43300101</v>
      </c>
      <c r="D651" t="s">
        <v>67</v>
      </c>
      <c r="H651" t="str">
        <f t="shared" si="80"/>
        <v>CRDPIA44R47A783H</v>
      </c>
      <c r="I651" t="str">
        <f t="shared" si="81"/>
        <v>00157320623</v>
      </c>
      <c r="K651" t="str">
        <f>""</f>
        <v/>
      </c>
      <c r="M651" t="s">
        <v>68</v>
      </c>
      <c r="N651" t="str">
        <f t="shared" si="79"/>
        <v>FOR</v>
      </c>
      <c r="O651" t="s">
        <v>69</v>
      </c>
      <c r="P651" t="s">
        <v>75</v>
      </c>
      <c r="Q651">
        <v>2016</v>
      </c>
      <c r="R651" s="4">
        <v>42626</v>
      </c>
      <c r="S651" s="2">
        <v>42626</v>
      </c>
      <c r="T651" s="2">
        <v>42626</v>
      </c>
      <c r="U651" s="4">
        <v>42686</v>
      </c>
      <c r="V651" t="s">
        <v>71</v>
      </c>
      <c r="W651" t="str">
        <f>"              193/PA"</f>
        <v xml:space="preserve">              193/PA</v>
      </c>
      <c r="X651">
        <v>400</v>
      </c>
      <c r="Y651">
        <v>0</v>
      </c>
      <c r="Z651" s="5">
        <v>327.87</v>
      </c>
      <c r="AA651" s="3">
        <v>86</v>
      </c>
      <c r="AB651" s="5">
        <v>28196.82</v>
      </c>
      <c r="AC651">
        <v>327.87</v>
      </c>
      <c r="AD651">
        <v>86</v>
      </c>
      <c r="AE651" s="1">
        <v>28196.82</v>
      </c>
      <c r="AF651">
        <v>72.13</v>
      </c>
      <c r="AJ651">
        <v>0</v>
      </c>
      <c r="AK651">
        <v>0</v>
      </c>
      <c r="AL651">
        <v>0</v>
      </c>
      <c r="AM651">
        <v>0</v>
      </c>
      <c r="AN651">
        <v>0</v>
      </c>
      <c r="AO651">
        <v>0</v>
      </c>
      <c r="AP651" s="2">
        <v>42831</v>
      </c>
      <c r="AQ651" t="s">
        <v>72</v>
      </c>
      <c r="AR651" t="s">
        <v>72</v>
      </c>
      <c r="AS651">
        <v>292</v>
      </c>
      <c r="AT651" s="4">
        <v>42772</v>
      </c>
      <c r="AU651" t="s">
        <v>73</v>
      </c>
      <c r="AV651">
        <v>292</v>
      </c>
      <c r="AW651" s="4">
        <v>42772</v>
      </c>
      <c r="BB651">
        <v>72.13</v>
      </c>
      <c r="BD651">
        <v>0</v>
      </c>
      <c r="BN651" t="s">
        <v>74</v>
      </c>
    </row>
    <row r="652" spans="1:66">
      <c r="A652">
        <v>100787</v>
      </c>
      <c r="B652" t="s">
        <v>176</v>
      </c>
      <c r="C652" s="1">
        <v>43300101</v>
      </c>
      <c r="D652" t="s">
        <v>67</v>
      </c>
      <c r="H652" t="str">
        <f t="shared" si="80"/>
        <v>CRDPIA44R47A783H</v>
      </c>
      <c r="I652" t="str">
        <f t="shared" si="81"/>
        <v>00157320623</v>
      </c>
      <c r="K652" t="str">
        <f>""</f>
        <v/>
      </c>
      <c r="M652" t="s">
        <v>68</v>
      </c>
      <c r="N652" t="str">
        <f t="shared" si="79"/>
        <v>FOR</v>
      </c>
      <c r="O652" t="s">
        <v>69</v>
      </c>
      <c r="P652" t="s">
        <v>75</v>
      </c>
      <c r="Q652">
        <v>2016</v>
      </c>
      <c r="R652" s="4">
        <v>42626</v>
      </c>
      <c r="S652" s="2">
        <v>42626</v>
      </c>
      <c r="T652" s="2">
        <v>42626</v>
      </c>
      <c r="U652" s="4">
        <v>42686</v>
      </c>
      <c r="V652" t="s">
        <v>71</v>
      </c>
      <c r="W652" t="str">
        <f>"              194/PA"</f>
        <v xml:space="preserve">              194/PA</v>
      </c>
      <c r="X652">
        <v>240</v>
      </c>
      <c r="Y652">
        <v>0</v>
      </c>
      <c r="Z652" s="5">
        <v>230.77</v>
      </c>
      <c r="AA652" s="3">
        <v>86</v>
      </c>
      <c r="AB652" s="5">
        <v>19846.22</v>
      </c>
      <c r="AC652">
        <v>230.77</v>
      </c>
      <c r="AD652">
        <v>86</v>
      </c>
      <c r="AE652" s="1">
        <v>19846.22</v>
      </c>
      <c r="AF652">
        <v>9.23</v>
      </c>
      <c r="AJ652">
        <v>0</v>
      </c>
      <c r="AK652">
        <v>0</v>
      </c>
      <c r="AL652">
        <v>0</v>
      </c>
      <c r="AM652">
        <v>0</v>
      </c>
      <c r="AN652">
        <v>0</v>
      </c>
      <c r="AO652">
        <v>0</v>
      </c>
      <c r="AP652" s="2">
        <v>42831</v>
      </c>
      <c r="AQ652" t="s">
        <v>72</v>
      </c>
      <c r="AR652" t="s">
        <v>72</v>
      </c>
      <c r="AS652">
        <v>292</v>
      </c>
      <c r="AT652" s="4">
        <v>42772</v>
      </c>
      <c r="AU652" t="s">
        <v>73</v>
      </c>
      <c r="AV652">
        <v>292</v>
      </c>
      <c r="AW652" s="4">
        <v>42772</v>
      </c>
      <c r="BB652">
        <v>9.23</v>
      </c>
      <c r="BD652">
        <v>0</v>
      </c>
      <c r="BN652" t="s">
        <v>74</v>
      </c>
    </row>
    <row r="653" spans="1:66">
      <c r="A653">
        <v>100787</v>
      </c>
      <c r="B653" t="s">
        <v>176</v>
      </c>
      <c r="C653" s="1">
        <v>43300101</v>
      </c>
      <c r="D653" t="s">
        <v>67</v>
      </c>
      <c r="H653" t="str">
        <f t="shared" si="80"/>
        <v>CRDPIA44R47A783H</v>
      </c>
      <c r="I653" t="str">
        <f t="shared" si="81"/>
        <v>00157320623</v>
      </c>
      <c r="K653" t="str">
        <f>""</f>
        <v/>
      </c>
      <c r="M653" t="s">
        <v>68</v>
      </c>
      <c r="N653" t="str">
        <f t="shared" si="79"/>
        <v>FOR</v>
      </c>
      <c r="O653" t="s">
        <v>69</v>
      </c>
      <c r="P653" t="s">
        <v>75</v>
      </c>
      <c r="Q653">
        <v>2016</v>
      </c>
      <c r="R653" s="4">
        <v>42656</v>
      </c>
      <c r="S653" s="2">
        <v>42660</v>
      </c>
      <c r="T653" s="2">
        <v>42657</v>
      </c>
      <c r="U653" s="4">
        <v>42717</v>
      </c>
      <c r="V653" t="s">
        <v>71</v>
      </c>
      <c r="W653" t="str">
        <f>"              228/PA"</f>
        <v xml:space="preserve">              228/PA</v>
      </c>
      <c r="X653">
        <v>422.5</v>
      </c>
      <c r="Y653">
        <v>0</v>
      </c>
      <c r="Z653" s="5">
        <v>406.25</v>
      </c>
      <c r="AA653" s="3">
        <v>55</v>
      </c>
      <c r="AB653" s="5">
        <v>22343.75</v>
      </c>
      <c r="AC653">
        <v>406.25</v>
      </c>
      <c r="AD653">
        <v>55</v>
      </c>
      <c r="AE653" s="1">
        <v>22343.75</v>
      </c>
      <c r="AF653">
        <v>16.25</v>
      </c>
      <c r="AJ653">
        <v>0</v>
      </c>
      <c r="AK653">
        <v>0</v>
      </c>
      <c r="AL653">
        <v>0</v>
      </c>
      <c r="AM653">
        <v>0</v>
      </c>
      <c r="AN653">
        <v>0</v>
      </c>
      <c r="AO653">
        <v>0</v>
      </c>
      <c r="AP653" s="2">
        <v>42831</v>
      </c>
      <c r="AQ653" t="s">
        <v>72</v>
      </c>
      <c r="AR653" t="s">
        <v>72</v>
      </c>
      <c r="AS653">
        <v>292</v>
      </c>
      <c r="AT653" s="4">
        <v>42772</v>
      </c>
      <c r="AU653" t="s">
        <v>73</v>
      </c>
      <c r="AV653">
        <v>292</v>
      </c>
      <c r="AW653" s="4">
        <v>42772</v>
      </c>
      <c r="BA653">
        <v>16.25</v>
      </c>
      <c r="BD653">
        <v>0</v>
      </c>
      <c r="BN653" t="s">
        <v>74</v>
      </c>
    </row>
    <row r="654" spans="1:66">
      <c r="A654">
        <v>100787</v>
      </c>
      <c r="B654" t="s">
        <v>176</v>
      </c>
      <c r="C654" s="1">
        <v>43300101</v>
      </c>
      <c r="D654" t="s">
        <v>67</v>
      </c>
      <c r="H654" t="str">
        <f t="shared" si="80"/>
        <v>CRDPIA44R47A783H</v>
      </c>
      <c r="I654" t="str">
        <f t="shared" si="81"/>
        <v>00157320623</v>
      </c>
      <c r="K654" t="str">
        <f>""</f>
        <v/>
      </c>
      <c r="M654" t="s">
        <v>68</v>
      </c>
      <c r="N654" t="str">
        <f t="shared" si="79"/>
        <v>FOR</v>
      </c>
      <c r="O654" t="s">
        <v>69</v>
      </c>
      <c r="P654" t="s">
        <v>75</v>
      </c>
      <c r="Q654">
        <v>2016</v>
      </c>
      <c r="R654" s="4">
        <v>42656</v>
      </c>
      <c r="S654" s="2">
        <v>42660</v>
      </c>
      <c r="T654" s="2">
        <v>42657</v>
      </c>
      <c r="U654" s="4">
        <v>42717</v>
      </c>
      <c r="V654" t="s">
        <v>71</v>
      </c>
      <c r="W654" t="str">
        <f>"              229/PA"</f>
        <v xml:space="preserve">              229/PA</v>
      </c>
      <c r="X654">
        <v>244</v>
      </c>
      <c r="Y654">
        <v>0</v>
      </c>
      <c r="Z654" s="5">
        <v>200</v>
      </c>
      <c r="AA654" s="3">
        <v>55</v>
      </c>
      <c r="AB654" s="5">
        <v>11000</v>
      </c>
      <c r="AC654">
        <v>200</v>
      </c>
      <c r="AD654">
        <v>55</v>
      </c>
      <c r="AE654" s="1">
        <v>11000</v>
      </c>
      <c r="AF654">
        <v>44</v>
      </c>
      <c r="AJ654">
        <v>0</v>
      </c>
      <c r="AK654">
        <v>0</v>
      </c>
      <c r="AL654">
        <v>0</v>
      </c>
      <c r="AM654">
        <v>0</v>
      </c>
      <c r="AN654">
        <v>0</v>
      </c>
      <c r="AO654">
        <v>0</v>
      </c>
      <c r="AP654" s="2">
        <v>42831</v>
      </c>
      <c r="AQ654" t="s">
        <v>72</v>
      </c>
      <c r="AR654" t="s">
        <v>72</v>
      </c>
      <c r="AS654">
        <v>292</v>
      </c>
      <c r="AT654" s="4">
        <v>42772</v>
      </c>
      <c r="AU654" t="s">
        <v>73</v>
      </c>
      <c r="AV654">
        <v>292</v>
      </c>
      <c r="AW654" s="4">
        <v>42772</v>
      </c>
      <c r="BA654">
        <v>44</v>
      </c>
      <c r="BD654">
        <v>0</v>
      </c>
      <c r="BN654" t="s">
        <v>74</v>
      </c>
    </row>
    <row r="655" spans="1:66">
      <c r="A655">
        <v>100787</v>
      </c>
      <c r="B655" t="s">
        <v>176</v>
      </c>
      <c r="C655" s="1">
        <v>43300101</v>
      </c>
      <c r="D655" t="s">
        <v>67</v>
      </c>
      <c r="H655" t="str">
        <f t="shared" si="80"/>
        <v>CRDPIA44R47A783H</v>
      </c>
      <c r="I655" t="str">
        <f t="shared" si="81"/>
        <v>00157320623</v>
      </c>
      <c r="K655" t="str">
        <f>""</f>
        <v/>
      </c>
      <c r="M655" t="s">
        <v>68</v>
      </c>
      <c r="N655" t="str">
        <f t="shared" si="79"/>
        <v>FOR</v>
      </c>
      <c r="O655" t="s">
        <v>69</v>
      </c>
      <c r="P655" t="s">
        <v>75</v>
      </c>
      <c r="Q655">
        <v>2016</v>
      </c>
      <c r="R655" s="4">
        <v>42656</v>
      </c>
      <c r="S655" s="2">
        <v>42660</v>
      </c>
      <c r="T655" s="2">
        <v>42657</v>
      </c>
      <c r="U655" s="4">
        <v>42717</v>
      </c>
      <c r="V655" t="s">
        <v>71</v>
      </c>
      <c r="W655" t="str">
        <f>"              230/PA"</f>
        <v xml:space="preserve">              230/PA</v>
      </c>
      <c r="X655">
        <v>46</v>
      </c>
      <c r="Y655">
        <v>0</v>
      </c>
      <c r="Z655" s="5">
        <v>41.82</v>
      </c>
      <c r="AA655" s="3">
        <v>55</v>
      </c>
      <c r="AB655" s="5">
        <v>2300.1</v>
      </c>
      <c r="AC655">
        <v>41.82</v>
      </c>
      <c r="AD655">
        <v>55</v>
      </c>
      <c r="AE655" s="1">
        <v>2300.1</v>
      </c>
      <c r="AF655">
        <v>4.18</v>
      </c>
      <c r="AJ655">
        <v>0</v>
      </c>
      <c r="AK655">
        <v>0</v>
      </c>
      <c r="AL655">
        <v>0</v>
      </c>
      <c r="AM655">
        <v>0</v>
      </c>
      <c r="AN655">
        <v>0</v>
      </c>
      <c r="AO655">
        <v>0</v>
      </c>
      <c r="AP655" s="2">
        <v>42831</v>
      </c>
      <c r="AQ655" t="s">
        <v>72</v>
      </c>
      <c r="AR655" t="s">
        <v>72</v>
      </c>
      <c r="AS655">
        <v>293</v>
      </c>
      <c r="AT655" s="4">
        <v>42772</v>
      </c>
      <c r="AU655" t="s">
        <v>73</v>
      </c>
      <c r="AV655">
        <v>293</v>
      </c>
      <c r="AW655" s="4">
        <v>42772</v>
      </c>
      <c r="BA655">
        <v>4.18</v>
      </c>
      <c r="BD655">
        <v>0</v>
      </c>
      <c r="BN655" t="s">
        <v>74</v>
      </c>
    </row>
    <row r="656" spans="1:66">
      <c r="A656">
        <v>100788</v>
      </c>
      <c r="B656" t="s">
        <v>177</v>
      </c>
      <c r="C656" s="1">
        <v>43300101</v>
      </c>
      <c r="D656" t="s">
        <v>67</v>
      </c>
      <c r="H656" t="str">
        <f>"02368591208"</f>
        <v>02368591208</v>
      </c>
      <c r="I656" t="str">
        <f>"10752960152"</f>
        <v>10752960152</v>
      </c>
      <c r="K656" t="str">
        <f>""</f>
        <v/>
      </c>
      <c r="M656" t="s">
        <v>68</v>
      </c>
      <c r="N656" t="str">
        <f t="shared" si="79"/>
        <v>FOR</v>
      </c>
      <c r="O656" t="s">
        <v>69</v>
      </c>
      <c r="P656" t="s">
        <v>70</v>
      </c>
      <c r="Q656">
        <v>2009</v>
      </c>
      <c r="R656" s="4">
        <v>40148</v>
      </c>
      <c r="S656" s="2">
        <v>42711</v>
      </c>
      <c r="T656" s="2">
        <v>42711</v>
      </c>
      <c r="U656" s="4">
        <v>42771</v>
      </c>
      <c r="V656" t="s">
        <v>71</v>
      </c>
      <c r="W656" t="str">
        <f>"          9101306839"</f>
        <v xml:space="preserve">          9101306839</v>
      </c>
      <c r="X656">
        <v>304.08</v>
      </c>
      <c r="Y656">
        <v>0</v>
      </c>
      <c r="Z656" s="5">
        <v>304.08</v>
      </c>
      <c r="AA656" s="3">
        <v>-5</v>
      </c>
      <c r="AB656" s="5">
        <v>-1520.4</v>
      </c>
      <c r="AC656">
        <v>304.08</v>
      </c>
      <c r="AD656">
        <v>-5</v>
      </c>
      <c r="AE656" s="1">
        <v>-1520.4</v>
      </c>
      <c r="AF656">
        <v>0</v>
      </c>
      <c r="AJ656">
        <v>0</v>
      </c>
      <c r="AK656">
        <v>0</v>
      </c>
      <c r="AL656">
        <v>0</v>
      </c>
      <c r="AM656">
        <v>0</v>
      </c>
      <c r="AN656">
        <v>0</v>
      </c>
      <c r="AO656">
        <v>0</v>
      </c>
      <c r="AP656" s="2">
        <v>42831</v>
      </c>
      <c r="AQ656" t="s">
        <v>72</v>
      </c>
      <c r="AR656" t="s">
        <v>72</v>
      </c>
      <c r="AS656">
        <v>177</v>
      </c>
      <c r="AT656" s="4">
        <v>42766</v>
      </c>
      <c r="AV656">
        <v>177</v>
      </c>
      <c r="AW656" s="4">
        <v>42766</v>
      </c>
      <c r="BD656">
        <v>0</v>
      </c>
      <c r="BN656" t="s">
        <v>74</v>
      </c>
    </row>
    <row r="657" spans="1:66">
      <c r="A657">
        <v>100796</v>
      </c>
      <c r="B657" t="s">
        <v>178</v>
      </c>
      <c r="C657" s="1">
        <v>43300101</v>
      </c>
      <c r="D657" t="s">
        <v>67</v>
      </c>
      <c r="H657" t="str">
        <f t="shared" ref="H657:I659" si="82">"02380550596"</f>
        <v>02380550596</v>
      </c>
      <c r="I657" t="str">
        <f t="shared" si="82"/>
        <v>02380550596</v>
      </c>
      <c r="K657" t="str">
        <f>""</f>
        <v/>
      </c>
      <c r="M657" t="s">
        <v>68</v>
      </c>
      <c r="N657" t="str">
        <f t="shared" si="79"/>
        <v>FOR</v>
      </c>
      <c r="O657" t="s">
        <v>69</v>
      </c>
      <c r="P657" t="s">
        <v>75</v>
      </c>
      <c r="Q657">
        <v>2016</v>
      </c>
      <c r="R657" s="4">
        <v>42444</v>
      </c>
      <c r="S657" s="2">
        <v>42446</v>
      </c>
      <c r="T657" s="2">
        <v>42445</v>
      </c>
      <c r="U657" s="4">
        <v>42505</v>
      </c>
      <c r="V657" t="s">
        <v>71</v>
      </c>
      <c r="W657" t="str">
        <f>"             1681/P1"</f>
        <v xml:space="preserve">             1681/P1</v>
      </c>
      <c r="X657" s="1">
        <v>1848</v>
      </c>
      <c r="Y657">
        <v>0</v>
      </c>
      <c r="Z657" s="5">
        <v>1680</v>
      </c>
      <c r="AA657" s="3">
        <v>263</v>
      </c>
      <c r="AB657" s="5">
        <v>441840</v>
      </c>
      <c r="AC657" s="1">
        <v>1680</v>
      </c>
      <c r="AD657">
        <v>263</v>
      </c>
      <c r="AE657" s="1">
        <v>441840</v>
      </c>
      <c r="AF657">
        <v>0</v>
      </c>
      <c r="AJ657">
        <v>0</v>
      </c>
      <c r="AK657">
        <v>0</v>
      </c>
      <c r="AL657">
        <v>0</v>
      </c>
      <c r="AM657">
        <v>0</v>
      </c>
      <c r="AN657">
        <v>0</v>
      </c>
      <c r="AO657">
        <v>0</v>
      </c>
      <c r="AP657" s="2">
        <v>42831</v>
      </c>
      <c r="AQ657" t="s">
        <v>72</v>
      </c>
      <c r="AR657" t="s">
        <v>72</v>
      </c>
      <c r="AS657">
        <v>212</v>
      </c>
      <c r="AT657" s="4">
        <v>42768</v>
      </c>
      <c r="AU657" t="s">
        <v>73</v>
      </c>
      <c r="AV657">
        <v>212</v>
      </c>
      <c r="AW657" s="4">
        <v>42768</v>
      </c>
      <c r="BD657">
        <v>0</v>
      </c>
      <c r="BN657" t="s">
        <v>74</v>
      </c>
    </row>
    <row r="658" spans="1:66">
      <c r="A658">
        <v>100796</v>
      </c>
      <c r="B658" t="s">
        <v>178</v>
      </c>
      <c r="C658" s="1">
        <v>43300101</v>
      </c>
      <c r="D658" t="s">
        <v>67</v>
      </c>
      <c r="H658" t="str">
        <f t="shared" si="82"/>
        <v>02380550596</v>
      </c>
      <c r="I658" t="str">
        <f t="shared" si="82"/>
        <v>02380550596</v>
      </c>
      <c r="K658" t="str">
        <f>""</f>
        <v/>
      </c>
      <c r="M658" t="s">
        <v>68</v>
      </c>
      <c r="N658" t="str">
        <f t="shared" si="79"/>
        <v>FOR</v>
      </c>
      <c r="O658" t="s">
        <v>69</v>
      </c>
      <c r="P658" t="s">
        <v>75</v>
      </c>
      <c r="Q658">
        <v>2016</v>
      </c>
      <c r="R658" s="4">
        <v>42451</v>
      </c>
      <c r="S658" s="2">
        <v>42453</v>
      </c>
      <c r="T658" s="2">
        <v>42452</v>
      </c>
      <c r="U658" s="4">
        <v>42512</v>
      </c>
      <c r="V658" t="s">
        <v>71</v>
      </c>
      <c r="W658" t="str">
        <f>"             1861/P1"</f>
        <v xml:space="preserve">             1861/P1</v>
      </c>
      <c r="X658">
        <v>785.4</v>
      </c>
      <c r="Y658">
        <v>0</v>
      </c>
      <c r="Z658" s="5">
        <v>714</v>
      </c>
      <c r="AA658" s="3">
        <v>256</v>
      </c>
      <c r="AB658" s="5">
        <v>182784</v>
      </c>
      <c r="AC658">
        <v>714</v>
      </c>
      <c r="AD658">
        <v>256</v>
      </c>
      <c r="AE658" s="1">
        <v>182784</v>
      </c>
      <c r="AF658">
        <v>0</v>
      </c>
      <c r="AJ658">
        <v>0</v>
      </c>
      <c r="AK658">
        <v>0</v>
      </c>
      <c r="AL658">
        <v>0</v>
      </c>
      <c r="AM658">
        <v>0</v>
      </c>
      <c r="AN658">
        <v>0</v>
      </c>
      <c r="AO658">
        <v>0</v>
      </c>
      <c r="AP658" s="2">
        <v>42831</v>
      </c>
      <c r="AQ658" t="s">
        <v>72</v>
      </c>
      <c r="AR658" t="s">
        <v>72</v>
      </c>
      <c r="AS658">
        <v>212</v>
      </c>
      <c r="AT658" s="4">
        <v>42768</v>
      </c>
      <c r="AU658" t="s">
        <v>73</v>
      </c>
      <c r="AV658">
        <v>212</v>
      </c>
      <c r="AW658" s="4">
        <v>42768</v>
      </c>
      <c r="BD658">
        <v>0</v>
      </c>
      <c r="BN658" t="s">
        <v>74</v>
      </c>
    </row>
    <row r="659" spans="1:66">
      <c r="A659">
        <v>100796</v>
      </c>
      <c r="B659" t="s">
        <v>178</v>
      </c>
      <c r="C659" s="1">
        <v>43300101</v>
      </c>
      <c r="D659" t="s">
        <v>67</v>
      </c>
      <c r="H659" t="str">
        <f t="shared" si="82"/>
        <v>02380550596</v>
      </c>
      <c r="I659" t="str">
        <f t="shared" si="82"/>
        <v>02380550596</v>
      </c>
      <c r="K659" t="str">
        <f>""</f>
        <v/>
      </c>
      <c r="M659" t="s">
        <v>68</v>
      </c>
      <c r="N659" t="str">
        <f t="shared" si="79"/>
        <v>FOR</v>
      </c>
      <c r="O659" t="s">
        <v>69</v>
      </c>
      <c r="P659" t="s">
        <v>75</v>
      </c>
      <c r="Q659">
        <v>2016</v>
      </c>
      <c r="R659" s="4">
        <v>42451</v>
      </c>
      <c r="S659" s="2">
        <v>42453</v>
      </c>
      <c r="T659" s="2">
        <v>42452</v>
      </c>
      <c r="U659" s="4">
        <v>42512</v>
      </c>
      <c r="V659" t="s">
        <v>71</v>
      </c>
      <c r="W659" t="str">
        <f>"             1862/P1"</f>
        <v xml:space="preserve">             1862/P1</v>
      </c>
      <c r="X659" s="1">
        <v>2356.1999999999998</v>
      </c>
      <c r="Y659">
        <v>0</v>
      </c>
      <c r="Z659" s="5">
        <v>2142</v>
      </c>
      <c r="AA659" s="3">
        <v>256</v>
      </c>
      <c r="AB659" s="5">
        <v>548352</v>
      </c>
      <c r="AC659" s="1">
        <v>2142</v>
      </c>
      <c r="AD659">
        <v>256</v>
      </c>
      <c r="AE659" s="1">
        <v>548352</v>
      </c>
      <c r="AF659">
        <v>0</v>
      </c>
      <c r="AJ659">
        <v>0</v>
      </c>
      <c r="AK659">
        <v>0</v>
      </c>
      <c r="AL659">
        <v>0</v>
      </c>
      <c r="AM659">
        <v>0</v>
      </c>
      <c r="AN659">
        <v>0</v>
      </c>
      <c r="AO659">
        <v>0</v>
      </c>
      <c r="AP659" s="2">
        <v>42831</v>
      </c>
      <c r="AQ659" t="s">
        <v>72</v>
      </c>
      <c r="AR659" t="s">
        <v>72</v>
      </c>
      <c r="AS659">
        <v>212</v>
      </c>
      <c r="AT659" s="4">
        <v>42768</v>
      </c>
      <c r="AU659" t="s">
        <v>73</v>
      </c>
      <c r="AV659">
        <v>212</v>
      </c>
      <c r="AW659" s="4">
        <v>42768</v>
      </c>
      <c r="BD659">
        <v>0</v>
      </c>
      <c r="BN659" t="s">
        <v>74</v>
      </c>
    </row>
    <row r="660" spans="1:66">
      <c r="A660">
        <v>100798</v>
      </c>
      <c r="B660" t="s">
        <v>179</v>
      </c>
      <c r="C660" s="1">
        <v>43300101</v>
      </c>
      <c r="D660" t="s">
        <v>67</v>
      </c>
      <c r="H660" t="str">
        <f t="shared" ref="H660:H667" si="83">"00492340583"</f>
        <v>00492340583</v>
      </c>
      <c r="I660" t="str">
        <f t="shared" ref="I660:I667" si="84">"00907371009"</f>
        <v>00907371009</v>
      </c>
      <c r="K660" t="str">
        <f>""</f>
        <v/>
      </c>
      <c r="M660" t="s">
        <v>68</v>
      </c>
      <c r="N660" t="str">
        <f t="shared" si="79"/>
        <v>FOR</v>
      </c>
      <c r="O660" t="s">
        <v>69</v>
      </c>
      <c r="P660" t="s">
        <v>75</v>
      </c>
      <c r="Q660">
        <v>2016</v>
      </c>
      <c r="R660" s="4">
        <v>42433</v>
      </c>
      <c r="S660" s="2">
        <v>42436</v>
      </c>
      <c r="T660" s="2">
        <v>42436</v>
      </c>
      <c r="U660" s="4">
        <v>42496</v>
      </c>
      <c r="V660" t="s">
        <v>71</v>
      </c>
      <c r="W660" t="str">
        <f>"            16026243"</f>
        <v xml:space="preserve">            16026243</v>
      </c>
      <c r="X660">
        <v>665.5</v>
      </c>
      <c r="Y660">
        <v>0</v>
      </c>
      <c r="Z660" s="5">
        <v>605</v>
      </c>
      <c r="AA660" s="3">
        <v>270</v>
      </c>
      <c r="AB660" s="5">
        <v>163350</v>
      </c>
      <c r="AC660">
        <v>605</v>
      </c>
      <c r="AD660">
        <v>270</v>
      </c>
      <c r="AE660" s="1">
        <v>163350</v>
      </c>
      <c r="AF660">
        <v>0</v>
      </c>
      <c r="AJ660">
        <v>0</v>
      </c>
      <c r="AK660">
        <v>0</v>
      </c>
      <c r="AL660">
        <v>0</v>
      </c>
      <c r="AM660">
        <v>0</v>
      </c>
      <c r="AN660">
        <v>0</v>
      </c>
      <c r="AO660">
        <v>0</v>
      </c>
      <c r="AP660" s="2">
        <v>42831</v>
      </c>
      <c r="AQ660" t="s">
        <v>72</v>
      </c>
      <c r="AR660" t="s">
        <v>72</v>
      </c>
      <c r="AS660">
        <v>179</v>
      </c>
      <c r="AT660" s="4">
        <v>42766</v>
      </c>
      <c r="AU660" t="s">
        <v>73</v>
      </c>
      <c r="AV660">
        <v>179</v>
      </c>
      <c r="AW660" s="4">
        <v>42766</v>
      </c>
      <c r="BD660">
        <v>0</v>
      </c>
      <c r="BN660" t="s">
        <v>74</v>
      </c>
    </row>
    <row r="661" spans="1:66">
      <c r="A661">
        <v>100798</v>
      </c>
      <c r="B661" t="s">
        <v>179</v>
      </c>
      <c r="C661" s="1">
        <v>43300101</v>
      </c>
      <c r="D661" t="s">
        <v>67</v>
      </c>
      <c r="H661" t="str">
        <f t="shared" si="83"/>
        <v>00492340583</v>
      </c>
      <c r="I661" t="str">
        <f t="shared" si="84"/>
        <v>00907371009</v>
      </c>
      <c r="K661" t="str">
        <f>""</f>
        <v/>
      </c>
      <c r="M661" t="s">
        <v>68</v>
      </c>
      <c r="N661" t="str">
        <f t="shared" si="79"/>
        <v>FOR</v>
      </c>
      <c r="O661" t="s">
        <v>69</v>
      </c>
      <c r="P661" t="s">
        <v>75</v>
      </c>
      <c r="Q661">
        <v>2016</v>
      </c>
      <c r="R661" s="4">
        <v>42439</v>
      </c>
      <c r="S661" s="2">
        <v>42443</v>
      </c>
      <c r="T661" s="2">
        <v>42441</v>
      </c>
      <c r="U661" s="4">
        <v>42501</v>
      </c>
      <c r="V661" t="s">
        <v>71</v>
      </c>
      <c r="W661" t="str">
        <f>"            16028693"</f>
        <v xml:space="preserve">            16028693</v>
      </c>
      <c r="X661" s="1">
        <v>1047.2</v>
      </c>
      <c r="Y661">
        <v>0</v>
      </c>
      <c r="Z661" s="5">
        <v>952</v>
      </c>
      <c r="AA661" s="3">
        <v>265</v>
      </c>
      <c r="AB661" s="5">
        <v>252280</v>
      </c>
      <c r="AC661">
        <v>952</v>
      </c>
      <c r="AD661">
        <v>265</v>
      </c>
      <c r="AE661" s="1">
        <v>252280</v>
      </c>
      <c r="AF661">
        <v>0</v>
      </c>
      <c r="AJ661">
        <v>0</v>
      </c>
      <c r="AK661">
        <v>0</v>
      </c>
      <c r="AL661">
        <v>0</v>
      </c>
      <c r="AM661">
        <v>0</v>
      </c>
      <c r="AN661">
        <v>0</v>
      </c>
      <c r="AO661">
        <v>0</v>
      </c>
      <c r="AP661" s="2">
        <v>42831</v>
      </c>
      <c r="AQ661" t="s">
        <v>72</v>
      </c>
      <c r="AR661" t="s">
        <v>72</v>
      </c>
      <c r="AS661">
        <v>179</v>
      </c>
      <c r="AT661" s="4">
        <v>42766</v>
      </c>
      <c r="AU661" t="s">
        <v>73</v>
      </c>
      <c r="AV661">
        <v>179</v>
      </c>
      <c r="AW661" s="4">
        <v>42766</v>
      </c>
      <c r="BD661">
        <v>0</v>
      </c>
      <c r="BN661" t="s">
        <v>74</v>
      </c>
    </row>
    <row r="662" spans="1:66">
      <c r="A662">
        <v>100798</v>
      </c>
      <c r="B662" t="s">
        <v>179</v>
      </c>
      <c r="C662" s="1">
        <v>43300101</v>
      </c>
      <c r="D662" t="s">
        <v>67</v>
      </c>
      <c r="H662" t="str">
        <f t="shared" si="83"/>
        <v>00492340583</v>
      </c>
      <c r="I662" t="str">
        <f t="shared" si="84"/>
        <v>00907371009</v>
      </c>
      <c r="K662" t="str">
        <f>""</f>
        <v/>
      </c>
      <c r="M662" t="s">
        <v>68</v>
      </c>
      <c r="N662" t="str">
        <f t="shared" si="79"/>
        <v>FOR</v>
      </c>
      <c r="O662" t="s">
        <v>69</v>
      </c>
      <c r="P662" t="s">
        <v>75</v>
      </c>
      <c r="Q662">
        <v>2016</v>
      </c>
      <c r="R662" s="4">
        <v>42443</v>
      </c>
      <c r="S662" s="2">
        <v>42446</v>
      </c>
      <c r="T662" s="2">
        <v>42444</v>
      </c>
      <c r="U662" s="4">
        <v>42504</v>
      </c>
      <c r="V662" t="s">
        <v>71</v>
      </c>
      <c r="W662" t="str">
        <f>"            16029880"</f>
        <v xml:space="preserve">            16029880</v>
      </c>
      <c r="X662" s="1">
        <v>8450</v>
      </c>
      <c r="Y662">
        <v>0</v>
      </c>
      <c r="Z662" s="5">
        <v>8125</v>
      </c>
      <c r="AA662" s="3">
        <v>262</v>
      </c>
      <c r="AB662" s="5">
        <v>2128750</v>
      </c>
      <c r="AC662" s="1">
        <v>8125</v>
      </c>
      <c r="AD662">
        <v>262</v>
      </c>
      <c r="AE662" s="1">
        <v>2128750</v>
      </c>
      <c r="AF662">
        <v>0</v>
      </c>
      <c r="AJ662">
        <v>0</v>
      </c>
      <c r="AK662">
        <v>0</v>
      </c>
      <c r="AL662">
        <v>0</v>
      </c>
      <c r="AM662">
        <v>0</v>
      </c>
      <c r="AN662">
        <v>0</v>
      </c>
      <c r="AO662">
        <v>0</v>
      </c>
      <c r="AP662" s="2">
        <v>42831</v>
      </c>
      <c r="AQ662" t="s">
        <v>72</v>
      </c>
      <c r="AR662" t="s">
        <v>72</v>
      </c>
      <c r="AS662">
        <v>179</v>
      </c>
      <c r="AT662" s="4">
        <v>42766</v>
      </c>
      <c r="AU662" t="s">
        <v>73</v>
      </c>
      <c r="AV662">
        <v>179</v>
      </c>
      <c r="AW662" s="4">
        <v>42766</v>
      </c>
      <c r="BD662">
        <v>0</v>
      </c>
      <c r="BN662" t="s">
        <v>74</v>
      </c>
    </row>
    <row r="663" spans="1:66">
      <c r="A663">
        <v>100798</v>
      </c>
      <c r="B663" t="s">
        <v>179</v>
      </c>
      <c r="C663" s="1">
        <v>43300101</v>
      </c>
      <c r="D663" t="s">
        <v>67</v>
      </c>
      <c r="H663" t="str">
        <f t="shared" si="83"/>
        <v>00492340583</v>
      </c>
      <c r="I663" t="str">
        <f t="shared" si="84"/>
        <v>00907371009</v>
      </c>
      <c r="K663" t="str">
        <f>""</f>
        <v/>
      </c>
      <c r="M663" t="s">
        <v>68</v>
      </c>
      <c r="N663" t="str">
        <f t="shared" si="79"/>
        <v>FOR</v>
      </c>
      <c r="O663" t="s">
        <v>69</v>
      </c>
      <c r="P663" t="s">
        <v>75</v>
      </c>
      <c r="Q663">
        <v>2016</v>
      </c>
      <c r="R663" s="4">
        <v>42461</v>
      </c>
      <c r="S663" s="2">
        <v>42464</v>
      </c>
      <c r="T663" s="2">
        <v>42464</v>
      </c>
      <c r="U663" s="4">
        <v>42524</v>
      </c>
      <c r="V663" t="s">
        <v>71</v>
      </c>
      <c r="W663" t="str">
        <f>"            16037226"</f>
        <v xml:space="preserve">            16037226</v>
      </c>
      <c r="X663" s="1">
        <v>11570</v>
      </c>
      <c r="Y663">
        <v>0</v>
      </c>
      <c r="Z663" s="5">
        <v>11125</v>
      </c>
      <c r="AA663" s="3">
        <v>258</v>
      </c>
      <c r="AB663" s="5">
        <v>2870250</v>
      </c>
      <c r="AC663" s="1">
        <v>11125</v>
      </c>
      <c r="AD663">
        <v>258</v>
      </c>
      <c r="AE663" s="1">
        <v>2870250</v>
      </c>
      <c r="AF663">
        <v>0</v>
      </c>
      <c r="AJ663">
        <v>0</v>
      </c>
      <c r="AK663">
        <v>0</v>
      </c>
      <c r="AL663">
        <v>0</v>
      </c>
      <c r="AM663">
        <v>0</v>
      </c>
      <c r="AN663">
        <v>0</v>
      </c>
      <c r="AO663">
        <v>0</v>
      </c>
      <c r="AP663" s="2">
        <v>42831</v>
      </c>
      <c r="AQ663" t="s">
        <v>72</v>
      </c>
      <c r="AR663" t="s">
        <v>72</v>
      </c>
      <c r="AS663">
        <v>467</v>
      </c>
      <c r="AT663" s="4">
        <v>42782</v>
      </c>
      <c r="AU663" t="s">
        <v>73</v>
      </c>
      <c r="AV663">
        <v>467</v>
      </c>
      <c r="AW663" s="4">
        <v>42782</v>
      </c>
      <c r="BD663">
        <v>0</v>
      </c>
      <c r="BN663" t="s">
        <v>74</v>
      </c>
    </row>
    <row r="664" spans="1:66">
      <c r="A664">
        <v>100798</v>
      </c>
      <c r="B664" t="s">
        <v>179</v>
      </c>
      <c r="C664" s="1">
        <v>43300101</v>
      </c>
      <c r="D664" t="s">
        <v>67</v>
      </c>
      <c r="H664" t="str">
        <f t="shared" si="83"/>
        <v>00492340583</v>
      </c>
      <c r="I664" t="str">
        <f t="shared" si="84"/>
        <v>00907371009</v>
      </c>
      <c r="K664" t="str">
        <f>""</f>
        <v/>
      </c>
      <c r="M664" t="s">
        <v>68</v>
      </c>
      <c r="N664" t="str">
        <f t="shared" si="79"/>
        <v>FOR</v>
      </c>
      <c r="O664" t="s">
        <v>69</v>
      </c>
      <c r="P664" t="s">
        <v>75</v>
      </c>
      <c r="Q664">
        <v>2016</v>
      </c>
      <c r="R664" s="4">
        <v>42466</v>
      </c>
      <c r="S664" s="2">
        <v>42473</v>
      </c>
      <c r="T664" s="2">
        <v>42467</v>
      </c>
      <c r="U664" s="4">
        <v>42527</v>
      </c>
      <c r="V664" t="s">
        <v>71</v>
      </c>
      <c r="W664" t="str">
        <f>"            16039615"</f>
        <v xml:space="preserve">            16039615</v>
      </c>
      <c r="X664" s="1">
        <v>1435.5</v>
      </c>
      <c r="Y664">
        <v>0</v>
      </c>
      <c r="Z664" s="5">
        <v>1305</v>
      </c>
      <c r="AA664" s="3">
        <v>255</v>
      </c>
      <c r="AB664" s="5">
        <v>332775</v>
      </c>
      <c r="AC664" s="1">
        <v>1305</v>
      </c>
      <c r="AD664">
        <v>255</v>
      </c>
      <c r="AE664" s="1">
        <v>332775</v>
      </c>
      <c r="AF664">
        <v>0</v>
      </c>
      <c r="AJ664">
        <v>0</v>
      </c>
      <c r="AK664">
        <v>0</v>
      </c>
      <c r="AL664">
        <v>0</v>
      </c>
      <c r="AM664">
        <v>0</v>
      </c>
      <c r="AN664">
        <v>0</v>
      </c>
      <c r="AO664">
        <v>0</v>
      </c>
      <c r="AP664" s="2">
        <v>42831</v>
      </c>
      <c r="AQ664" t="s">
        <v>72</v>
      </c>
      <c r="AR664" t="s">
        <v>72</v>
      </c>
      <c r="AS664">
        <v>467</v>
      </c>
      <c r="AT664" s="4">
        <v>42782</v>
      </c>
      <c r="AU664" t="s">
        <v>73</v>
      </c>
      <c r="AV664">
        <v>467</v>
      </c>
      <c r="AW664" s="4">
        <v>42782</v>
      </c>
      <c r="BD664">
        <v>0</v>
      </c>
      <c r="BN664" t="s">
        <v>74</v>
      </c>
    </row>
    <row r="665" spans="1:66">
      <c r="A665">
        <v>100798</v>
      </c>
      <c r="B665" t="s">
        <v>179</v>
      </c>
      <c r="C665" s="1">
        <v>43300101</v>
      </c>
      <c r="D665" t="s">
        <v>67</v>
      </c>
      <c r="H665" t="str">
        <f t="shared" si="83"/>
        <v>00492340583</v>
      </c>
      <c r="I665" t="str">
        <f t="shared" si="84"/>
        <v>00907371009</v>
      </c>
      <c r="K665" t="str">
        <f>""</f>
        <v/>
      </c>
      <c r="M665" t="s">
        <v>68</v>
      </c>
      <c r="N665" t="str">
        <f t="shared" si="79"/>
        <v>FOR</v>
      </c>
      <c r="O665" t="s">
        <v>69</v>
      </c>
      <c r="P665" t="s">
        <v>75</v>
      </c>
      <c r="Q665">
        <v>2016</v>
      </c>
      <c r="R665" s="4">
        <v>42473</v>
      </c>
      <c r="S665" s="2">
        <v>42475</v>
      </c>
      <c r="T665" s="2">
        <v>42474</v>
      </c>
      <c r="U665" s="4">
        <v>42534</v>
      </c>
      <c r="V665" t="s">
        <v>71</v>
      </c>
      <c r="W665" t="str">
        <f>"            16042475"</f>
        <v xml:space="preserve">            16042475</v>
      </c>
      <c r="X665">
        <v>260.7</v>
      </c>
      <c r="Y665">
        <v>0</v>
      </c>
      <c r="Z665" s="5">
        <v>237</v>
      </c>
      <c r="AA665" s="3">
        <v>248</v>
      </c>
      <c r="AB665" s="5">
        <v>58776</v>
      </c>
      <c r="AC665">
        <v>237</v>
      </c>
      <c r="AD665">
        <v>248</v>
      </c>
      <c r="AE665" s="1">
        <v>58776</v>
      </c>
      <c r="AF665">
        <v>0</v>
      </c>
      <c r="AJ665">
        <v>0</v>
      </c>
      <c r="AK665">
        <v>0</v>
      </c>
      <c r="AL665">
        <v>0</v>
      </c>
      <c r="AM665">
        <v>0</v>
      </c>
      <c r="AN665">
        <v>0</v>
      </c>
      <c r="AO665">
        <v>0</v>
      </c>
      <c r="AP665" s="2">
        <v>42831</v>
      </c>
      <c r="AQ665" t="s">
        <v>72</v>
      </c>
      <c r="AR665" t="s">
        <v>72</v>
      </c>
      <c r="AS665">
        <v>467</v>
      </c>
      <c r="AT665" s="4">
        <v>42782</v>
      </c>
      <c r="AU665" t="s">
        <v>73</v>
      </c>
      <c r="AV665">
        <v>467</v>
      </c>
      <c r="AW665" s="4">
        <v>42782</v>
      </c>
      <c r="BD665">
        <v>0</v>
      </c>
      <c r="BN665" t="s">
        <v>74</v>
      </c>
    </row>
    <row r="666" spans="1:66">
      <c r="A666">
        <v>100798</v>
      </c>
      <c r="B666" t="s">
        <v>179</v>
      </c>
      <c r="C666" s="1">
        <v>43300101</v>
      </c>
      <c r="D666" t="s">
        <v>67</v>
      </c>
      <c r="H666" t="str">
        <f t="shared" si="83"/>
        <v>00492340583</v>
      </c>
      <c r="I666" t="str">
        <f t="shared" si="84"/>
        <v>00907371009</v>
      </c>
      <c r="K666" t="str">
        <f>""</f>
        <v/>
      </c>
      <c r="M666" t="s">
        <v>68</v>
      </c>
      <c r="N666" t="str">
        <f t="shared" si="79"/>
        <v>FOR</v>
      </c>
      <c r="O666" t="s">
        <v>69</v>
      </c>
      <c r="P666" t="s">
        <v>75</v>
      </c>
      <c r="Q666">
        <v>2016</v>
      </c>
      <c r="R666" s="4">
        <v>42486</v>
      </c>
      <c r="S666" s="2">
        <v>42488</v>
      </c>
      <c r="T666" s="2">
        <v>42487</v>
      </c>
      <c r="U666" s="4">
        <v>42547</v>
      </c>
      <c r="V666" t="s">
        <v>71</v>
      </c>
      <c r="W666" t="str">
        <f>"            16047216"</f>
        <v xml:space="preserve">            16047216</v>
      </c>
      <c r="X666" s="1">
        <v>1092</v>
      </c>
      <c r="Y666">
        <v>0</v>
      </c>
      <c r="Z666" s="5">
        <v>1050</v>
      </c>
      <c r="AA666" s="3">
        <v>235</v>
      </c>
      <c r="AB666" s="5">
        <v>246750</v>
      </c>
      <c r="AC666" s="1">
        <v>1050</v>
      </c>
      <c r="AD666">
        <v>235</v>
      </c>
      <c r="AE666" s="1">
        <v>246750</v>
      </c>
      <c r="AF666">
        <v>0</v>
      </c>
      <c r="AJ666">
        <v>0</v>
      </c>
      <c r="AK666">
        <v>0</v>
      </c>
      <c r="AL666">
        <v>0</v>
      </c>
      <c r="AM666">
        <v>0</v>
      </c>
      <c r="AN666">
        <v>0</v>
      </c>
      <c r="AO666">
        <v>0</v>
      </c>
      <c r="AP666" s="2">
        <v>42831</v>
      </c>
      <c r="AQ666" t="s">
        <v>72</v>
      </c>
      <c r="AR666" t="s">
        <v>72</v>
      </c>
      <c r="AS666">
        <v>467</v>
      </c>
      <c r="AT666" s="4">
        <v>42782</v>
      </c>
      <c r="AU666" t="s">
        <v>73</v>
      </c>
      <c r="AV666">
        <v>467</v>
      </c>
      <c r="AW666" s="4">
        <v>42782</v>
      </c>
      <c r="BD666">
        <v>0</v>
      </c>
      <c r="BN666" t="s">
        <v>74</v>
      </c>
    </row>
    <row r="667" spans="1:66">
      <c r="A667">
        <v>100798</v>
      </c>
      <c r="B667" t="s">
        <v>179</v>
      </c>
      <c r="C667" s="1">
        <v>43300101</v>
      </c>
      <c r="D667" t="s">
        <v>67</v>
      </c>
      <c r="H667" t="str">
        <f t="shared" si="83"/>
        <v>00492340583</v>
      </c>
      <c r="I667" t="str">
        <f t="shared" si="84"/>
        <v>00907371009</v>
      </c>
      <c r="K667" t="str">
        <f>""</f>
        <v/>
      </c>
      <c r="M667" t="s">
        <v>68</v>
      </c>
      <c r="N667" t="str">
        <f t="shared" si="79"/>
        <v>FOR</v>
      </c>
      <c r="O667" t="s">
        <v>69</v>
      </c>
      <c r="P667" t="s">
        <v>75</v>
      </c>
      <c r="Q667">
        <v>2016</v>
      </c>
      <c r="R667" s="4">
        <v>42486</v>
      </c>
      <c r="S667" s="2">
        <v>42488</v>
      </c>
      <c r="T667" s="2">
        <v>42487</v>
      </c>
      <c r="U667" s="4">
        <v>42547</v>
      </c>
      <c r="V667" t="s">
        <v>71</v>
      </c>
      <c r="W667" t="str">
        <f>"            16047217"</f>
        <v xml:space="preserve">            16047217</v>
      </c>
      <c r="X667">
        <v>665.5</v>
      </c>
      <c r="Y667">
        <v>0</v>
      </c>
      <c r="Z667" s="5">
        <v>605</v>
      </c>
      <c r="AA667" s="3">
        <v>235</v>
      </c>
      <c r="AB667" s="5">
        <v>142175</v>
      </c>
      <c r="AC667">
        <v>605</v>
      </c>
      <c r="AD667">
        <v>235</v>
      </c>
      <c r="AE667" s="1">
        <v>142175</v>
      </c>
      <c r="AF667">
        <v>0</v>
      </c>
      <c r="AJ667">
        <v>0</v>
      </c>
      <c r="AK667">
        <v>0</v>
      </c>
      <c r="AL667">
        <v>0</v>
      </c>
      <c r="AM667">
        <v>0</v>
      </c>
      <c r="AN667">
        <v>0</v>
      </c>
      <c r="AO667">
        <v>0</v>
      </c>
      <c r="AP667" s="2">
        <v>42831</v>
      </c>
      <c r="AQ667" t="s">
        <v>72</v>
      </c>
      <c r="AR667" t="s">
        <v>72</v>
      </c>
      <c r="AS667">
        <v>467</v>
      </c>
      <c r="AT667" s="4">
        <v>42782</v>
      </c>
      <c r="AU667" t="s">
        <v>73</v>
      </c>
      <c r="AV667">
        <v>467</v>
      </c>
      <c r="AW667" s="4">
        <v>42782</v>
      </c>
      <c r="BD667">
        <v>0</v>
      </c>
      <c r="BN667" t="s">
        <v>74</v>
      </c>
    </row>
    <row r="668" spans="1:66">
      <c r="A668">
        <v>100811</v>
      </c>
      <c r="B668" t="s">
        <v>180</v>
      </c>
      <c r="C668" s="1">
        <v>43300101</v>
      </c>
      <c r="D668" t="s">
        <v>67</v>
      </c>
      <c r="H668" t="str">
        <f>"02583040643"</f>
        <v>02583040643</v>
      </c>
      <c r="I668" t="str">
        <f>"02583040643"</f>
        <v>02583040643</v>
      </c>
      <c r="K668" t="str">
        <f>""</f>
        <v/>
      </c>
      <c r="M668" t="s">
        <v>68</v>
      </c>
      <c r="N668" t="str">
        <f t="shared" si="79"/>
        <v>FOR</v>
      </c>
      <c r="O668" t="s">
        <v>69</v>
      </c>
      <c r="P668" t="s">
        <v>75</v>
      </c>
      <c r="Q668">
        <v>2016</v>
      </c>
      <c r="R668" s="4">
        <v>42530</v>
      </c>
      <c r="S668" s="2">
        <v>42534</v>
      </c>
      <c r="T668" s="2">
        <v>42530</v>
      </c>
      <c r="U668" s="4">
        <v>42590</v>
      </c>
      <c r="V668" t="s">
        <v>71</v>
      </c>
      <c r="W668" t="str">
        <f>"          7A/PA/2016"</f>
        <v xml:space="preserve">          7A/PA/2016</v>
      </c>
      <c r="X668" s="1">
        <v>1251.72</v>
      </c>
      <c r="Y668">
        <v>0</v>
      </c>
      <c r="Z668" s="5">
        <v>1026</v>
      </c>
      <c r="AA668" s="3">
        <v>177</v>
      </c>
      <c r="AB668" s="5">
        <v>181602</v>
      </c>
      <c r="AC668" s="1">
        <v>1026</v>
      </c>
      <c r="AD668">
        <v>177</v>
      </c>
      <c r="AE668" s="1">
        <v>181602</v>
      </c>
      <c r="AF668">
        <v>0</v>
      </c>
      <c r="AJ668">
        <v>0</v>
      </c>
      <c r="AK668">
        <v>0</v>
      </c>
      <c r="AL668">
        <v>0</v>
      </c>
      <c r="AM668">
        <v>0</v>
      </c>
      <c r="AN668">
        <v>0</v>
      </c>
      <c r="AO668">
        <v>0</v>
      </c>
      <c r="AP668" s="2">
        <v>42831</v>
      </c>
      <c r="AQ668" t="s">
        <v>72</v>
      </c>
      <c r="AR668" t="s">
        <v>72</v>
      </c>
      <c r="AS668">
        <v>191</v>
      </c>
      <c r="AT668" s="4">
        <v>42767</v>
      </c>
      <c r="AU668" t="s">
        <v>73</v>
      </c>
      <c r="AV668">
        <v>191</v>
      </c>
      <c r="AW668" s="4">
        <v>42767</v>
      </c>
      <c r="BD668">
        <v>0</v>
      </c>
      <c r="BN668" t="s">
        <v>74</v>
      </c>
    </row>
    <row r="669" spans="1:66">
      <c r="A669">
        <v>100823</v>
      </c>
      <c r="B669" t="s">
        <v>181</v>
      </c>
      <c r="C669" s="1">
        <v>43500101</v>
      </c>
      <c r="D669" t="s">
        <v>98</v>
      </c>
      <c r="H669" t="str">
        <f>"CTLGPL72E22C476M"</f>
        <v>CTLGPL72E22C476M</v>
      </c>
      <c r="I669" t="str">
        <f>"01406970622"</f>
        <v>01406970622</v>
      </c>
      <c r="K669" t="str">
        <f>""</f>
        <v/>
      </c>
      <c r="M669" t="s">
        <v>68</v>
      </c>
      <c r="N669" t="str">
        <f>"ALTPRO"</f>
        <v>ALTPRO</v>
      </c>
      <c r="O669" t="s">
        <v>116</v>
      </c>
      <c r="P669" t="s">
        <v>120</v>
      </c>
      <c r="Q669">
        <v>2017</v>
      </c>
      <c r="R669" s="4">
        <v>42745</v>
      </c>
      <c r="S669" s="2">
        <v>42747</v>
      </c>
      <c r="T669" s="2">
        <v>42745</v>
      </c>
      <c r="U669" s="4">
        <v>42805</v>
      </c>
      <c r="V669" t="s">
        <v>71</v>
      </c>
      <c r="W669" t="str">
        <f>"                4/PA"</f>
        <v xml:space="preserve">                4/PA</v>
      </c>
      <c r="X669" s="1">
        <v>3239.19</v>
      </c>
      <c r="Y669">
        <v>-510.59</v>
      </c>
      <c r="Z669" s="5">
        <v>2728.6</v>
      </c>
      <c r="AA669" s="3">
        <v>-40</v>
      </c>
      <c r="AB669" s="5">
        <v>-109144</v>
      </c>
      <c r="AC669" s="1">
        <v>2728.6</v>
      </c>
      <c r="AD669">
        <v>-40</v>
      </c>
      <c r="AE669" s="1">
        <v>-109144</v>
      </c>
      <c r="AF669">
        <v>0</v>
      </c>
      <c r="AJ669">
        <v>-510.59</v>
      </c>
      <c r="AK669" s="1">
        <v>2728.6</v>
      </c>
      <c r="AL669" s="1">
        <v>2728.6</v>
      </c>
      <c r="AM669">
        <v>-510.59</v>
      </c>
      <c r="AN669" s="1">
        <v>2728.6</v>
      </c>
      <c r="AO669" s="1">
        <v>2728.6</v>
      </c>
      <c r="AP669" s="2">
        <v>42831</v>
      </c>
      <c r="AQ669" t="s">
        <v>72</v>
      </c>
      <c r="AR669" t="s">
        <v>72</v>
      </c>
      <c r="AS669">
        <v>116</v>
      </c>
      <c r="AT669" s="4">
        <v>42765</v>
      </c>
      <c r="AV669">
        <v>116</v>
      </c>
      <c r="AW669" s="4">
        <v>42765</v>
      </c>
      <c r="BD669">
        <v>0</v>
      </c>
      <c r="BN669" t="s">
        <v>74</v>
      </c>
    </row>
    <row r="670" spans="1:66">
      <c r="A670">
        <v>100823</v>
      </c>
      <c r="B670" t="s">
        <v>181</v>
      </c>
      <c r="C670" s="1">
        <v>43500101</v>
      </c>
      <c r="D670" t="s">
        <v>98</v>
      </c>
      <c r="H670" t="str">
        <f>"CTLGPL72E22C476M"</f>
        <v>CTLGPL72E22C476M</v>
      </c>
      <c r="I670" t="str">
        <f>"01406970622"</f>
        <v>01406970622</v>
      </c>
      <c r="K670" t="str">
        <f>""</f>
        <v/>
      </c>
      <c r="M670" t="s">
        <v>68</v>
      </c>
      <c r="N670" t="str">
        <f>"ALTPRO"</f>
        <v>ALTPRO</v>
      </c>
      <c r="O670" t="s">
        <v>116</v>
      </c>
      <c r="P670" t="s">
        <v>120</v>
      </c>
      <c r="Q670">
        <v>2017</v>
      </c>
      <c r="R670" s="4">
        <v>42745</v>
      </c>
      <c r="S670" s="2">
        <v>42747</v>
      </c>
      <c r="T670" s="2">
        <v>42745</v>
      </c>
      <c r="U670" s="4">
        <v>42805</v>
      </c>
      <c r="V670" t="s">
        <v>71</v>
      </c>
      <c r="W670" t="str">
        <f>"                5/PA"</f>
        <v xml:space="preserve">                5/PA</v>
      </c>
      <c r="X670" s="1">
        <v>3084.94</v>
      </c>
      <c r="Y670">
        <v>-486.28</v>
      </c>
      <c r="Z670" s="5">
        <v>2598.66</v>
      </c>
      <c r="AA670" s="3">
        <v>-40</v>
      </c>
      <c r="AB670" s="5">
        <v>-103946.4</v>
      </c>
      <c r="AC670" s="1">
        <v>2598.66</v>
      </c>
      <c r="AD670">
        <v>-40</v>
      </c>
      <c r="AE670" s="1">
        <v>-103946.4</v>
      </c>
      <c r="AF670">
        <v>0</v>
      </c>
      <c r="AJ670">
        <v>-486.28</v>
      </c>
      <c r="AK670" s="1">
        <v>2598.66</v>
      </c>
      <c r="AL670" s="1">
        <v>2598.66</v>
      </c>
      <c r="AM670">
        <v>-486.28</v>
      </c>
      <c r="AN670" s="1">
        <v>2598.66</v>
      </c>
      <c r="AO670" s="1">
        <v>2598.66</v>
      </c>
      <c r="AP670" s="2">
        <v>42831</v>
      </c>
      <c r="AQ670" t="s">
        <v>72</v>
      </c>
      <c r="AR670" t="s">
        <v>72</v>
      </c>
      <c r="AS670">
        <v>116</v>
      </c>
      <c r="AT670" s="4">
        <v>42765</v>
      </c>
      <c r="AV670">
        <v>116</v>
      </c>
      <c r="AW670" s="4">
        <v>42765</v>
      </c>
      <c r="BD670">
        <v>0</v>
      </c>
      <c r="BN670" t="s">
        <v>74</v>
      </c>
    </row>
    <row r="671" spans="1:66">
      <c r="A671">
        <v>100823</v>
      </c>
      <c r="B671" t="s">
        <v>181</v>
      </c>
      <c r="C671" s="1">
        <v>43500101</v>
      </c>
      <c r="D671" t="s">
        <v>98</v>
      </c>
      <c r="H671" t="str">
        <f>"CTLGPL72E22C476M"</f>
        <v>CTLGPL72E22C476M</v>
      </c>
      <c r="I671" t="str">
        <f>"01406970622"</f>
        <v>01406970622</v>
      </c>
      <c r="K671" t="str">
        <f>""</f>
        <v/>
      </c>
      <c r="M671" t="s">
        <v>68</v>
      </c>
      <c r="N671" t="str">
        <f>"ALTPRO"</f>
        <v>ALTPRO</v>
      </c>
      <c r="O671" t="s">
        <v>116</v>
      </c>
      <c r="P671" t="s">
        <v>120</v>
      </c>
      <c r="Q671">
        <v>2017</v>
      </c>
      <c r="R671" s="4">
        <v>42768</v>
      </c>
      <c r="S671" s="2">
        <v>42772</v>
      </c>
      <c r="T671" s="2">
        <v>42769</v>
      </c>
      <c r="U671" s="4">
        <v>42829</v>
      </c>
      <c r="V671" t="s">
        <v>71</v>
      </c>
      <c r="W671" t="str">
        <f>"                7/PA"</f>
        <v xml:space="preserve">                7/PA</v>
      </c>
      <c r="X671" s="1">
        <v>3232.76</v>
      </c>
      <c r="Y671">
        <v>-509.58</v>
      </c>
      <c r="Z671" s="5">
        <v>2723.18</v>
      </c>
      <c r="AA671" s="3">
        <v>-53</v>
      </c>
      <c r="AB671" s="5">
        <v>-144328.54</v>
      </c>
      <c r="AC671" s="1">
        <v>2723.18</v>
      </c>
      <c r="AD671">
        <v>-53</v>
      </c>
      <c r="AE671" s="1">
        <v>-144328.54</v>
      </c>
      <c r="AF671">
        <v>0</v>
      </c>
      <c r="AJ671" s="1">
        <v>2723.18</v>
      </c>
      <c r="AK671" s="1">
        <v>2723.18</v>
      </c>
      <c r="AL671" s="1">
        <v>2723.18</v>
      </c>
      <c r="AM671" s="1">
        <v>2723.18</v>
      </c>
      <c r="AN671" s="1">
        <v>2723.18</v>
      </c>
      <c r="AO671" s="1">
        <v>2723.18</v>
      </c>
      <c r="AP671" s="2">
        <v>42831</v>
      </c>
      <c r="AQ671" t="s">
        <v>72</v>
      </c>
      <c r="AR671" t="s">
        <v>72</v>
      </c>
      <c r="AS671">
        <v>391</v>
      </c>
      <c r="AT671" s="4">
        <v>42776</v>
      </c>
      <c r="AV671">
        <v>391</v>
      </c>
      <c r="AW671" s="4">
        <v>42776</v>
      </c>
      <c r="BD671">
        <v>0</v>
      </c>
      <c r="BN671" t="s">
        <v>74</v>
      </c>
    </row>
    <row r="672" spans="1:66">
      <c r="A672">
        <v>100823</v>
      </c>
      <c r="B672" t="s">
        <v>181</v>
      </c>
      <c r="C672" s="1">
        <v>43500101</v>
      </c>
      <c r="D672" t="s">
        <v>98</v>
      </c>
      <c r="H672" t="str">
        <f>"CTLGPL72E22C476M"</f>
        <v>CTLGPL72E22C476M</v>
      </c>
      <c r="I672" t="str">
        <f>"01406970622"</f>
        <v>01406970622</v>
      </c>
      <c r="K672" t="str">
        <f>""</f>
        <v/>
      </c>
      <c r="M672" t="s">
        <v>68</v>
      </c>
      <c r="N672" t="str">
        <f>"ALTPRO"</f>
        <v>ALTPRO</v>
      </c>
      <c r="O672" t="s">
        <v>116</v>
      </c>
      <c r="P672" t="s">
        <v>120</v>
      </c>
      <c r="Q672">
        <v>2017</v>
      </c>
      <c r="R672" s="4">
        <v>42804</v>
      </c>
      <c r="S672" s="2">
        <v>42807</v>
      </c>
      <c r="T672" s="2">
        <v>42804</v>
      </c>
      <c r="U672" s="4">
        <v>42864</v>
      </c>
      <c r="V672" t="s">
        <v>71</v>
      </c>
      <c r="W672" t="str">
        <f>"                9/PA"</f>
        <v xml:space="preserve">                9/PA</v>
      </c>
      <c r="X672" s="1">
        <v>2888.92</v>
      </c>
      <c r="Y672">
        <v>-455.38</v>
      </c>
      <c r="Z672" s="5">
        <v>2433.54</v>
      </c>
      <c r="AA672" s="3">
        <v>-55</v>
      </c>
      <c r="AB672" s="5">
        <v>-133844.70000000001</v>
      </c>
      <c r="AC672" s="1">
        <v>2433.54</v>
      </c>
      <c r="AD672">
        <v>-55</v>
      </c>
      <c r="AE672" s="1">
        <v>-133844.70000000001</v>
      </c>
      <c r="AF672">
        <v>0</v>
      </c>
      <c r="AJ672" s="1">
        <v>2433.54</v>
      </c>
      <c r="AK672" s="1">
        <v>2433.54</v>
      </c>
      <c r="AL672" s="1">
        <v>2433.54</v>
      </c>
      <c r="AM672" s="1">
        <v>2433.54</v>
      </c>
      <c r="AN672" s="1">
        <v>2433.54</v>
      </c>
      <c r="AO672" s="1">
        <v>2433.54</v>
      </c>
      <c r="AP672" s="2">
        <v>42831</v>
      </c>
      <c r="AQ672" t="s">
        <v>72</v>
      </c>
      <c r="AR672" t="s">
        <v>72</v>
      </c>
      <c r="AS672">
        <v>757</v>
      </c>
      <c r="AT672" s="4">
        <v>42809</v>
      </c>
      <c r="AV672">
        <v>757</v>
      </c>
      <c r="AW672" s="4">
        <v>42809</v>
      </c>
      <c r="BD672">
        <v>0</v>
      </c>
      <c r="BN672" t="s">
        <v>74</v>
      </c>
    </row>
    <row r="673" spans="1:66">
      <c r="A673">
        <v>100824</v>
      </c>
      <c r="B673" t="s">
        <v>182</v>
      </c>
      <c r="C673" s="1">
        <v>43300101</v>
      </c>
      <c r="D673" t="s">
        <v>67</v>
      </c>
      <c r="H673" t="str">
        <f t="shared" ref="H673:I698" si="85">"05750470634"</f>
        <v>05750470634</v>
      </c>
      <c r="I673" t="str">
        <f t="shared" si="85"/>
        <v>05750470634</v>
      </c>
      <c r="K673" t="str">
        <f>""</f>
        <v/>
      </c>
      <c r="M673" t="s">
        <v>68</v>
      </c>
      <c r="N673" t="str">
        <f t="shared" ref="N673:N704" si="86">"FOR"</f>
        <v>FOR</v>
      </c>
      <c r="O673" t="s">
        <v>69</v>
      </c>
      <c r="P673" t="s">
        <v>75</v>
      </c>
      <c r="Q673">
        <v>2016</v>
      </c>
      <c r="R673" s="4">
        <v>42405</v>
      </c>
      <c r="S673" s="2">
        <v>42408</v>
      </c>
      <c r="T673" s="2">
        <v>42405</v>
      </c>
      <c r="U673" s="4">
        <v>42465</v>
      </c>
      <c r="V673" t="s">
        <v>71</v>
      </c>
      <c r="W673" t="str">
        <f>"                3/71"</f>
        <v xml:space="preserve">                3/71</v>
      </c>
      <c r="X673" s="1">
        <v>2626.83</v>
      </c>
      <c r="Y673">
        <v>0</v>
      </c>
      <c r="Z673" s="5">
        <v>2525.8000000000002</v>
      </c>
      <c r="AA673" s="3">
        <v>310</v>
      </c>
      <c r="AB673" s="5">
        <v>782998</v>
      </c>
      <c r="AC673" s="1">
        <v>2525.8000000000002</v>
      </c>
      <c r="AD673">
        <v>310</v>
      </c>
      <c r="AE673" s="1">
        <v>782998</v>
      </c>
      <c r="AF673">
        <v>0</v>
      </c>
      <c r="AJ673">
        <v>0</v>
      </c>
      <c r="AK673">
        <v>0</v>
      </c>
      <c r="AL673">
        <v>0</v>
      </c>
      <c r="AM673">
        <v>0</v>
      </c>
      <c r="AN673">
        <v>0</v>
      </c>
      <c r="AO673">
        <v>0</v>
      </c>
      <c r="AP673" s="2">
        <v>42831</v>
      </c>
      <c r="AQ673" t="s">
        <v>72</v>
      </c>
      <c r="AR673" t="s">
        <v>72</v>
      </c>
      <c r="AS673">
        <v>374</v>
      </c>
      <c r="AT673" s="4">
        <v>42775</v>
      </c>
      <c r="AU673" t="s">
        <v>73</v>
      </c>
      <c r="AV673">
        <v>374</v>
      </c>
      <c r="AW673" s="4">
        <v>42775</v>
      </c>
      <c r="BD673">
        <v>0</v>
      </c>
      <c r="BN673" t="s">
        <v>74</v>
      </c>
    </row>
    <row r="674" spans="1:66">
      <c r="A674">
        <v>100824</v>
      </c>
      <c r="B674" t="s">
        <v>182</v>
      </c>
      <c r="C674" s="1">
        <v>43300101</v>
      </c>
      <c r="D674" t="s">
        <v>67</v>
      </c>
      <c r="H674" t="str">
        <f t="shared" si="85"/>
        <v>05750470634</v>
      </c>
      <c r="I674" t="str">
        <f t="shared" si="85"/>
        <v>05750470634</v>
      </c>
      <c r="K674" t="str">
        <f>""</f>
        <v/>
      </c>
      <c r="M674" t="s">
        <v>68</v>
      </c>
      <c r="N674" t="str">
        <f t="shared" si="86"/>
        <v>FOR</v>
      </c>
      <c r="O674" t="s">
        <v>69</v>
      </c>
      <c r="P674" t="s">
        <v>75</v>
      </c>
      <c r="Q674">
        <v>2016</v>
      </c>
      <c r="R674" s="4">
        <v>42405</v>
      </c>
      <c r="S674" s="2">
        <v>42408</v>
      </c>
      <c r="T674" s="2">
        <v>42405</v>
      </c>
      <c r="U674" s="4">
        <v>42465</v>
      </c>
      <c r="V674" t="s">
        <v>71</v>
      </c>
      <c r="W674" t="str">
        <f>"                3/72"</f>
        <v xml:space="preserve">                3/72</v>
      </c>
      <c r="X674" s="1">
        <v>2626.83</v>
      </c>
      <c r="Y674">
        <v>0</v>
      </c>
      <c r="Z674" s="5">
        <v>2525.8000000000002</v>
      </c>
      <c r="AA674" s="3">
        <v>310</v>
      </c>
      <c r="AB674" s="5">
        <v>782998</v>
      </c>
      <c r="AC674" s="1">
        <v>2525.8000000000002</v>
      </c>
      <c r="AD674">
        <v>310</v>
      </c>
      <c r="AE674" s="1">
        <v>782998</v>
      </c>
      <c r="AF674">
        <v>0</v>
      </c>
      <c r="AJ674">
        <v>0</v>
      </c>
      <c r="AK674">
        <v>0</v>
      </c>
      <c r="AL674">
        <v>0</v>
      </c>
      <c r="AM674">
        <v>0</v>
      </c>
      <c r="AN674">
        <v>0</v>
      </c>
      <c r="AO674">
        <v>0</v>
      </c>
      <c r="AP674" s="2">
        <v>42831</v>
      </c>
      <c r="AQ674" t="s">
        <v>72</v>
      </c>
      <c r="AR674" t="s">
        <v>72</v>
      </c>
      <c r="AS674">
        <v>374</v>
      </c>
      <c r="AT674" s="4">
        <v>42775</v>
      </c>
      <c r="AU674" t="s">
        <v>73</v>
      </c>
      <c r="AV674">
        <v>374</v>
      </c>
      <c r="AW674" s="4">
        <v>42775</v>
      </c>
      <c r="BD674">
        <v>0</v>
      </c>
      <c r="BN674" t="s">
        <v>74</v>
      </c>
    </row>
    <row r="675" spans="1:66">
      <c r="A675">
        <v>100824</v>
      </c>
      <c r="B675" t="s">
        <v>182</v>
      </c>
      <c r="C675" s="1">
        <v>43300101</v>
      </c>
      <c r="D675" t="s">
        <v>67</v>
      </c>
      <c r="H675" t="str">
        <f t="shared" si="85"/>
        <v>05750470634</v>
      </c>
      <c r="I675" t="str">
        <f t="shared" si="85"/>
        <v>05750470634</v>
      </c>
      <c r="K675" t="str">
        <f>""</f>
        <v/>
      </c>
      <c r="M675" t="s">
        <v>68</v>
      </c>
      <c r="N675" t="str">
        <f t="shared" si="86"/>
        <v>FOR</v>
      </c>
      <c r="O675" t="s">
        <v>69</v>
      </c>
      <c r="P675" t="s">
        <v>75</v>
      </c>
      <c r="Q675">
        <v>2016</v>
      </c>
      <c r="R675" s="4">
        <v>42438</v>
      </c>
      <c r="S675" s="2">
        <v>42443</v>
      </c>
      <c r="T675" s="2">
        <v>42438</v>
      </c>
      <c r="U675" s="4">
        <v>42498</v>
      </c>
      <c r="V675" t="s">
        <v>71</v>
      </c>
      <c r="W675" t="str">
        <f>"               3/212"</f>
        <v xml:space="preserve">               3/212</v>
      </c>
      <c r="X675" s="1">
        <v>6856.82</v>
      </c>
      <c r="Y675">
        <v>0</v>
      </c>
      <c r="Z675" s="5">
        <v>6593.1</v>
      </c>
      <c r="AA675" s="3">
        <v>277</v>
      </c>
      <c r="AB675" s="5">
        <v>1826288.7</v>
      </c>
      <c r="AC675" s="1">
        <v>6593.1</v>
      </c>
      <c r="AD675">
        <v>277</v>
      </c>
      <c r="AE675" s="1">
        <v>1826288.7</v>
      </c>
      <c r="AF675">
        <v>0</v>
      </c>
      <c r="AJ675">
        <v>0</v>
      </c>
      <c r="AK675">
        <v>0</v>
      </c>
      <c r="AL675">
        <v>0</v>
      </c>
      <c r="AM675">
        <v>0</v>
      </c>
      <c r="AN675">
        <v>0</v>
      </c>
      <c r="AO675">
        <v>0</v>
      </c>
      <c r="AP675" s="2">
        <v>42831</v>
      </c>
      <c r="AQ675" t="s">
        <v>72</v>
      </c>
      <c r="AR675" t="s">
        <v>72</v>
      </c>
      <c r="AS675">
        <v>374</v>
      </c>
      <c r="AT675" s="4">
        <v>42775</v>
      </c>
      <c r="AU675" t="s">
        <v>73</v>
      </c>
      <c r="AV675">
        <v>374</v>
      </c>
      <c r="AW675" s="4">
        <v>42775</v>
      </c>
      <c r="BD675">
        <v>0</v>
      </c>
      <c r="BN675" t="s">
        <v>74</v>
      </c>
    </row>
    <row r="676" spans="1:66">
      <c r="A676">
        <v>100824</v>
      </c>
      <c r="B676" t="s">
        <v>182</v>
      </c>
      <c r="C676" s="1">
        <v>43300101</v>
      </c>
      <c r="D676" t="s">
        <v>67</v>
      </c>
      <c r="H676" t="str">
        <f t="shared" si="85"/>
        <v>05750470634</v>
      </c>
      <c r="I676" t="str">
        <f t="shared" si="85"/>
        <v>05750470634</v>
      </c>
      <c r="K676" t="str">
        <f>""</f>
        <v/>
      </c>
      <c r="M676" t="s">
        <v>68</v>
      </c>
      <c r="N676" t="str">
        <f t="shared" si="86"/>
        <v>FOR</v>
      </c>
      <c r="O676" t="s">
        <v>69</v>
      </c>
      <c r="P676" t="s">
        <v>75</v>
      </c>
      <c r="Q676">
        <v>2016</v>
      </c>
      <c r="R676" s="4">
        <v>42438</v>
      </c>
      <c r="S676" s="2">
        <v>42438</v>
      </c>
      <c r="T676" s="2">
        <v>42438</v>
      </c>
      <c r="U676" s="4">
        <v>42498</v>
      </c>
      <c r="V676" t="s">
        <v>71</v>
      </c>
      <c r="W676" t="str">
        <f>"               3/213"</f>
        <v xml:space="preserve">               3/213</v>
      </c>
      <c r="X676" s="1">
        <v>3940.25</v>
      </c>
      <c r="Y676">
        <v>0</v>
      </c>
      <c r="Z676" s="5">
        <v>3788.7</v>
      </c>
      <c r="AA676" s="3">
        <v>277</v>
      </c>
      <c r="AB676" s="5">
        <v>1049469.8999999999</v>
      </c>
      <c r="AC676" s="1">
        <v>3788.7</v>
      </c>
      <c r="AD676">
        <v>277</v>
      </c>
      <c r="AE676" s="1">
        <v>1049469.8999999999</v>
      </c>
      <c r="AF676">
        <v>0</v>
      </c>
      <c r="AJ676">
        <v>0</v>
      </c>
      <c r="AK676">
        <v>0</v>
      </c>
      <c r="AL676">
        <v>0</v>
      </c>
      <c r="AM676">
        <v>0</v>
      </c>
      <c r="AN676">
        <v>0</v>
      </c>
      <c r="AO676">
        <v>0</v>
      </c>
      <c r="AP676" s="2">
        <v>42831</v>
      </c>
      <c r="AQ676" t="s">
        <v>72</v>
      </c>
      <c r="AR676" t="s">
        <v>72</v>
      </c>
      <c r="AS676">
        <v>374</v>
      </c>
      <c r="AT676" s="4">
        <v>42775</v>
      </c>
      <c r="AU676" t="s">
        <v>73</v>
      </c>
      <c r="AV676">
        <v>374</v>
      </c>
      <c r="AW676" s="4">
        <v>42775</v>
      </c>
      <c r="BD676">
        <v>0</v>
      </c>
      <c r="BN676" t="s">
        <v>74</v>
      </c>
    </row>
    <row r="677" spans="1:66">
      <c r="A677">
        <v>100824</v>
      </c>
      <c r="B677" t="s">
        <v>182</v>
      </c>
      <c r="C677" s="1">
        <v>43300101</v>
      </c>
      <c r="D677" t="s">
        <v>67</v>
      </c>
      <c r="H677" t="str">
        <f t="shared" si="85"/>
        <v>05750470634</v>
      </c>
      <c r="I677" t="str">
        <f t="shared" si="85"/>
        <v>05750470634</v>
      </c>
      <c r="K677" t="str">
        <f>""</f>
        <v/>
      </c>
      <c r="M677" t="s">
        <v>68</v>
      </c>
      <c r="N677" t="str">
        <f t="shared" si="86"/>
        <v>FOR</v>
      </c>
      <c r="O677" t="s">
        <v>69</v>
      </c>
      <c r="P677" t="s">
        <v>75</v>
      </c>
      <c r="Q677">
        <v>2016</v>
      </c>
      <c r="R677" s="4">
        <v>42438</v>
      </c>
      <c r="S677" s="2">
        <v>42443</v>
      </c>
      <c r="T677" s="2">
        <v>42438</v>
      </c>
      <c r="U677" s="4">
        <v>42498</v>
      </c>
      <c r="V677" t="s">
        <v>71</v>
      </c>
      <c r="W677" t="str">
        <f>"               3/214"</f>
        <v xml:space="preserve">               3/214</v>
      </c>
      <c r="X677" s="1">
        <v>2995.2</v>
      </c>
      <c r="Y677">
        <v>0</v>
      </c>
      <c r="Z677" s="5">
        <v>2880</v>
      </c>
      <c r="AA677" s="3">
        <v>277</v>
      </c>
      <c r="AB677" s="5">
        <v>797760</v>
      </c>
      <c r="AC677" s="1">
        <v>2880</v>
      </c>
      <c r="AD677">
        <v>277</v>
      </c>
      <c r="AE677" s="1">
        <v>797760</v>
      </c>
      <c r="AF677">
        <v>0</v>
      </c>
      <c r="AJ677">
        <v>0</v>
      </c>
      <c r="AK677">
        <v>0</v>
      </c>
      <c r="AL677">
        <v>0</v>
      </c>
      <c r="AM677">
        <v>0</v>
      </c>
      <c r="AN677">
        <v>0</v>
      </c>
      <c r="AO677">
        <v>0</v>
      </c>
      <c r="AP677" s="2">
        <v>42831</v>
      </c>
      <c r="AQ677" t="s">
        <v>72</v>
      </c>
      <c r="AR677" t="s">
        <v>72</v>
      </c>
      <c r="AS677">
        <v>374</v>
      </c>
      <c r="AT677" s="4">
        <v>42775</v>
      </c>
      <c r="AU677" t="s">
        <v>73</v>
      </c>
      <c r="AV677">
        <v>374</v>
      </c>
      <c r="AW677" s="4">
        <v>42775</v>
      </c>
      <c r="BD677">
        <v>0</v>
      </c>
      <c r="BN677" t="s">
        <v>74</v>
      </c>
    </row>
    <row r="678" spans="1:66">
      <c r="A678">
        <v>100824</v>
      </c>
      <c r="B678" t="s">
        <v>182</v>
      </c>
      <c r="C678" s="1">
        <v>43300101</v>
      </c>
      <c r="D678" t="s">
        <v>67</v>
      </c>
      <c r="H678" t="str">
        <f t="shared" si="85"/>
        <v>05750470634</v>
      </c>
      <c r="I678" t="str">
        <f t="shared" si="85"/>
        <v>05750470634</v>
      </c>
      <c r="K678" t="str">
        <f>""</f>
        <v/>
      </c>
      <c r="M678" t="s">
        <v>68</v>
      </c>
      <c r="N678" t="str">
        <f t="shared" si="86"/>
        <v>FOR</v>
      </c>
      <c r="O678" t="s">
        <v>69</v>
      </c>
      <c r="P678" t="s">
        <v>75</v>
      </c>
      <c r="Q678">
        <v>2016</v>
      </c>
      <c r="R678" s="4">
        <v>42447</v>
      </c>
      <c r="S678" s="2">
        <v>42448</v>
      </c>
      <c r="T678" s="2">
        <v>42447</v>
      </c>
      <c r="U678" s="4">
        <v>42507</v>
      </c>
      <c r="V678" t="s">
        <v>71</v>
      </c>
      <c r="W678" t="str">
        <f>"               3/258"</f>
        <v xml:space="preserve">               3/258</v>
      </c>
      <c r="X678">
        <v>124.8</v>
      </c>
      <c r="Y678">
        <v>0</v>
      </c>
      <c r="Z678" s="5">
        <v>120</v>
      </c>
      <c r="AA678" s="3">
        <v>268</v>
      </c>
      <c r="AB678" s="5">
        <v>32160</v>
      </c>
      <c r="AC678">
        <v>120</v>
      </c>
      <c r="AD678">
        <v>268</v>
      </c>
      <c r="AE678" s="1">
        <v>32160</v>
      </c>
      <c r="AF678">
        <v>0</v>
      </c>
      <c r="AJ678">
        <v>0</v>
      </c>
      <c r="AK678">
        <v>0</v>
      </c>
      <c r="AL678">
        <v>0</v>
      </c>
      <c r="AM678">
        <v>0</v>
      </c>
      <c r="AN678">
        <v>0</v>
      </c>
      <c r="AO678">
        <v>0</v>
      </c>
      <c r="AP678" s="2">
        <v>42831</v>
      </c>
      <c r="AQ678" t="s">
        <v>72</v>
      </c>
      <c r="AR678" t="s">
        <v>72</v>
      </c>
      <c r="AS678">
        <v>374</v>
      </c>
      <c r="AT678" s="4">
        <v>42775</v>
      </c>
      <c r="AU678" t="s">
        <v>73</v>
      </c>
      <c r="AV678">
        <v>374</v>
      </c>
      <c r="AW678" s="4">
        <v>42775</v>
      </c>
      <c r="BD678">
        <v>0</v>
      </c>
      <c r="BN678" t="s">
        <v>74</v>
      </c>
    </row>
    <row r="679" spans="1:66">
      <c r="A679">
        <v>100824</v>
      </c>
      <c r="B679" t="s">
        <v>182</v>
      </c>
      <c r="C679" s="1">
        <v>43300101</v>
      </c>
      <c r="D679" t="s">
        <v>67</v>
      </c>
      <c r="H679" t="str">
        <f t="shared" si="85"/>
        <v>05750470634</v>
      </c>
      <c r="I679" t="str">
        <f t="shared" si="85"/>
        <v>05750470634</v>
      </c>
      <c r="K679" t="str">
        <f>""</f>
        <v/>
      </c>
      <c r="M679" t="s">
        <v>68</v>
      </c>
      <c r="N679" t="str">
        <f t="shared" si="86"/>
        <v>FOR</v>
      </c>
      <c r="O679" t="s">
        <v>69</v>
      </c>
      <c r="P679" t="s">
        <v>75</v>
      </c>
      <c r="Q679">
        <v>2016</v>
      </c>
      <c r="R679" s="4">
        <v>42447</v>
      </c>
      <c r="S679" s="2">
        <v>42448</v>
      </c>
      <c r="T679" s="2">
        <v>42447</v>
      </c>
      <c r="U679" s="4">
        <v>42507</v>
      </c>
      <c r="V679" t="s">
        <v>71</v>
      </c>
      <c r="W679" t="str">
        <f>"               3/259"</f>
        <v xml:space="preserve">               3/259</v>
      </c>
      <c r="X679" s="1">
        <v>4130.57</v>
      </c>
      <c r="Y679">
        <v>0</v>
      </c>
      <c r="Z679" s="5">
        <v>3971.7</v>
      </c>
      <c r="AA679" s="3">
        <v>268</v>
      </c>
      <c r="AB679" s="5">
        <v>1064415.6000000001</v>
      </c>
      <c r="AC679" s="1">
        <v>3971.7</v>
      </c>
      <c r="AD679">
        <v>268</v>
      </c>
      <c r="AE679" s="1">
        <v>1064415.6000000001</v>
      </c>
      <c r="AF679">
        <v>0</v>
      </c>
      <c r="AJ679">
        <v>0</v>
      </c>
      <c r="AK679">
        <v>0</v>
      </c>
      <c r="AL679">
        <v>0</v>
      </c>
      <c r="AM679">
        <v>0</v>
      </c>
      <c r="AN679">
        <v>0</v>
      </c>
      <c r="AO679">
        <v>0</v>
      </c>
      <c r="AP679" s="2">
        <v>42831</v>
      </c>
      <c r="AQ679" t="s">
        <v>72</v>
      </c>
      <c r="AR679" t="s">
        <v>72</v>
      </c>
      <c r="AS679">
        <v>374</v>
      </c>
      <c r="AT679" s="4">
        <v>42775</v>
      </c>
      <c r="AU679" t="s">
        <v>73</v>
      </c>
      <c r="AV679">
        <v>374</v>
      </c>
      <c r="AW679" s="4">
        <v>42775</v>
      </c>
      <c r="BD679">
        <v>0</v>
      </c>
      <c r="BN679" t="s">
        <v>74</v>
      </c>
    </row>
    <row r="680" spans="1:66">
      <c r="A680">
        <v>100824</v>
      </c>
      <c r="B680" t="s">
        <v>182</v>
      </c>
      <c r="C680" s="1">
        <v>43300101</v>
      </c>
      <c r="D680" t="s">
        <v>67</v>
      </c>
      <c r="H680" t="str">
        <f t="shared" si="85"/>
        <v>05750470634</v>
      </c>
      <c r="I680" t="str">
        <f t="shared" si="85"/>
        <v>05750470634</v>
      </c>
      <c r="K680" t="str">
        <f>""</f>
        <v/>
      </c>
      <c r="M680" t="s">
        <v>68</v>
      </c>
      <c r="N680" t="str">
        <f t="shared" si="86"/>
        <v>FOR</v>
      </c>
      <c r="O680" t="s">
        <v>69</v>
      </c>
      <c r="P680" t="s">
        <v>75</v>
      </c>
      <c r="Q680">
        <v>2016</v>
      </c>
      <c r="R680" s="4">
        <v>42447</v>
      </c>
      <c r="S680" s="2">
        <v>42460</v>
      </c>
      <c r="T680" s="2">
        <v>42447</v>
      </c>
      <c r="U680" s="4">
        <v>42507</v>
      </c>
      <c r="V680" t="s">
        <v>71</v>
      </c>
      <c r="W680" t="str">
        <f>"               3/260"</f>
        <v xml:space="preserve">               3/260</v>
      </c>
      <c r="X680" s="1">
        <v>1153.98</v>
      </c>
      <c r="Y680">
        <v>0</v>
      </c>
      <c r="Z680" s="5">
        <v>1109.5999999999999</v>
      </c>
      <c r="AA680" s="3">
        <v>268</v>
      </c>
      <c r="AB680" s="5">
        <v>297372.79999999999</v>
      </c>
      <c r="AC680" s="1">
        <v>1109.5999999999999</v>
      </c>
      <c r="AD680">
        <v>268</v>
      </c>
      <c r="AE680" s="1">
        <v>297372.79999999999</v>
      </c>
      <c r="AF680">
        <v>0</v>
      </c>
      <c r="AJ680">
        <v>0</v>
      </c>
      <c r="AK680">
        <v>0</v>
      </c>
      <c r="AL680">
        <v>0</v>
      </c>
      <c r="AM680">
        <v>0</v>
      </c>
      <c r="AN680">
        <v>0</v>
      </c>
      <c r="AO680">
        <v>0</v>
      </c>
      <c r="AP680" s="2">
        <v>42831</v>
      </c>
      <c r="AQ680" t="s">
        <v>72</v>
      </c>
      <c r="AR680" t="s">
        <v>72</v>
      </c>
      <c r="AS680">
        <v>374</v>
      </c>
      <c r="AT680" s="4">
        <v>42775</v>
      </c>
      <c r="AU680" t="s">
        <v>73</v>
      </c>
      <c r="AV680">
        <v>374</v>
      </c>
      <c r="AW680" s="4">
        <v>42775</v>
      </c>
      <c r="BD680">
        <v>0</v>
      </c>
      <c r="BN680" t="s">
        <v>74</v>
      </c>
    </row>
    <row r="681" spans="1:66">
      <c r="A681">
        <v>100824</v>
      </c>
      <c r="B681" t="s">
        <v>182</v>
      </c>
      <c r="C681" s="1">
        <v>43300101</v>
      </c>
      <c r="D681" t="s">
        <v>67</v>
      </c>
      <c r="H681" t="str">
        <f t="shared" si="85"/>
        <v>05750470634</v>
      </c>
      <c r="I681" t="str">
        <f t="shared" si="85"/>
        <v>05750470634</v>
      </c>
      <c r="K681" t="str">
        <f>""</f>
        <v/>
      </c>
      <c r="M681" t="s">
        <v>68</v>
      </c>
      <c r="N681" t="str">
        <f t="shared" si="86"/>
        <v>FOR</v>
      </c>
      <c r="O681" t="s">
        <v>69</v>
      </c>
      <c r="P681" t="s">
        <v>75</v>
      </c>
      <c r="Q681">
        <v>2016</v>
      </c>
      <c r="R681" s="4">
        <v>42447</v>
      </c>
      <c r="S681" s="2">
        <v>42448</v>
      </c>
      <c r="T681" s="2">
        <v>42447</v>
      </c>
      <c r="U681" s="4">
        <v>42507</v>
      </c>
      <c r="V681" t="s">
        <v>71</v>
      </c>
      <c r="W681" t="str">
        <f>"               3/261"</f>
        <v xml:space="preserve">               3/261</v>
      </c>
      <c r="X681" s="1">
        <v>2009.28</v>
      </c>
      <c r="Y681">
        <v>0</v>
      </c>
      <c r="Z681" s="5">
        <v>1932</v>
      </c>
      <c r="AA681" s="3">
        <v>268</v>
      </c>
      <c r="AB681" s="5">
        <v>517776</v>
      </c>
      <c r="AC681" s="1">
        <v>1932</v>
      </c>
      <c r="AD681">
        <v>268</v>
      </c>
      <c r="AE681" s="1">
        <v>517776</v>
      </c>
      <c r="AF681">
        <v>0</v>
      </c>
      <c r="AJ681">
        <v>0</v>
      </c>
      <c r="AK681">
        <v>0</v>
      </c>
      <c r="AL681">
        <v>0</v>
      </c>
      <c r="AM681">
        <v>0</v>
      </c>
      <c r="AN681">
        <v>0</v>
      </c>
      <c r="AO681">
        <v>0</v>
      </c>
      <c r="AP681" s="2">
        <v>42831</v>
      </c>
      <c r="AQ681" t="s">
        <v>72</v>
      </c>
      <c r="AR681" t="s">
        <v>72</v>
      </c>
      <c r="AS681">
        <v>374</v>
      </c>
      <c r="AT681" s="4">
        <v>42775</v>
      </c>
      <c r="AU681" t="s">
        <v>73</v>
      </c>
      <c r="AV681">
        <v>374</v>
      </c>
      <c r="AW681" s="4">
        <v>42775</v>
      </c>
      <c r="BD681">
        <v>0</v>
      </c>
      <c r="BN681" t="s">
        <v>74</v>
      </c>
    </row>
    <row r="682" spans="1:66">
      <c r="A682">
        <v>100824</v>
      </c>
      <c r="B682" t="s">
        <v>182</v>
      </c>
      <c r="C682" s="1">
        <v>43300101</v>
      </c>
      <c r="D682" t="s">
        <v>67</v>
      </c>
      <c r="H682" t="str">
        <f t="shared" si="85"/>
        <v>05750470634</v>
      </c>
      <c r="I682" t="str">
        <f t="shared" si="85"/>
        <v>05750470634</v>
      </c>
      <c r="K682" t="str">
        <f>""</f>
        <v/>
      </c>
      <c r="M682" t="s">
        <v>68</v>
      </c>
      <c r="N682" t="str">
        <f t="shared" si="86"/>
        <v>FOR</v>
      </c>
      <c r="O682" t="s">
        <v>69</v>
      </c>
      <c r="P682" t="s">
        <v>75</v>
      </c>
      <c r="Q682">
        <v>2016</v>
      </c>
      <c r="R682" s="4">
        <v>42459</v>
      </c>
      <c r="S682" s="2">
        <v>42461</v>
      </c>
      <c r="T682" s="2">
        <v>42459</v>
      </c>
      <c r="U682" s="4">
        <v>42519</v>
      </c>
      <c r="V682" t="s">
        <v>71</v>
      </c>
      <c r="W682" t="str">
        <f>"               3/284"</f>
        <v xml:space="preserve">               3/284</v>
      </c>
      <c r="X682" s="1">
        <v>3761.99</v>
      </c>
      <c r="Y682">
        <v>0</v>
      </c>
      <c r="Z682" s="5">
        <v>3083.6</v>
      </c>
      <c r="AA682" s="3">
        <v>256</v>
      </c>
      <c r="AB682" s="5">
        <v>789401.59999999998</v>
      </c>
      <c r="AC682" s="1">
        <v>3083.6</v>
      </c>
      <c r="AD682">
        <v>256</v>
      </c>
      <c r="AE682" s="1">
        <v>789401.59999999998</v>
      </c>
      <c r="AF682">
        <v>0</v>
      </c>
      <c r="AJ682">
        <v>0</v>
      </c>
      <c r="AK682">
        <v>0</v>
      </c>
      <c r="AL682">
        <v>0</v>
      </c>
      <c r="AM682">
        <v>0</v>
      </c>
      <c r="AN682">
        <v>0</v>
      </c>
      <c r="AO682">
        <v>0</v>
      </c>
      <c r="AP682" s="2">
        <v>42831</v>
      </c>
      <c r="AQ682" t="s">
        <v>72</v>
      </c>
      <c r="AR682" t="s">
        <v>72</v>
      </c>
      <c r="AS682">
        <v>374</v>
      </c>
      <c r="AT682" s="4">
        <v>42775</v>
      </c>
      <c r="AU682" t="s">
        <v>73</v>
      </c>
      <c r="AV682">
        <v>374</v>
      </c>
      <c r="AW682" s="4">
        <v>42775</v>
      </c>
      <c r="BD682">
        <v>0</v>
      </c>
      <c r="BN682" t="s">
        <v>74</v>
      </c>
    </row>
    <row r="683" spans="1:66">
      <c r="A683">
        <v>100824</v>
      </c>
      <c r="B683" t="s">
        <v>182</v>
      </c>
      <c r="C683" s="1">
        <v>43300101</v>
      </c>
      <c r="D683" t="s">
        <v>67</v>
      </c>
      <c r="H683" t="str">
        <f t="shared" si="85"/>
        <v>05750470634</v>
      </c>
      <c r="I683" t="str">
        <f t="shared" si="85"/>
        <v>05750470634</v>
      </c>
      <c r="K683" t="str">
        <f>""</f>
        <v/>
      </c>
      <c r="M683" t="s">
        <v>68</v>
      </c>
      <c r="N683" t="str">
        <f t="shared" si="86"/>
        <v>FOR</v>
      </c>
      <c r="O683" t="s">
        <v>69</v>
      </c>
      <c r="P683" t="s">
        <v>75</v>
      </c>
      <c r="Q683">
        <v>2016</v>
      </c>
      <c r="R683" s="4">
        <v>42459</v>
      </c>
      <c r="S683" s="2">
        <v>42461</v>
      </c>
      <c r="T683" s="2">
        <v>42459</v>
      </c>
      <c r="U683" s="4">
        <v>42519</v>
      </c>
      <c r="V683" t="s">
        <v>71</v>
      </c>
      <c r="W683" t="str">
        <f>"               3/285"</f>
        <v xml:space="preserve">               3/285</v>
      </c>
      <c r="X683" s="1">
        <v>2821.49</v>
      </c>
      <c r="Y683">
        <v>0</v>
      </c>
      <c r="Z683" s="5">
        <v>2312.6999999999998</v>
      </c>
      <c r="AA683" s="3">
        <v>256</v>
      </c>
      <c r="AB683" s="5">
        <v>592051.19999999995</v>
      </c>
      <c r="AC683" s="1">
        <v>2312.6999999999998</v>
      </c>
      <c r="AD683">
        <v>256</v>
      </c>
      <c r="AE683" s="1">
        <v>592051.19999999995</v>
      </c>
      <c r="AF683">
        <v>0</v>
      </c>
      <c r="AJ683">
        <v>0</v>
      </c>
      <c r="AK683">
        <v>0</v>
      </c>
      <c r="AL683">
        <v>0</v>
      </c>
      <c r="AM683">
        <v>0</v>
      </c>
      <c r="AN683">
        <v>0</v>
      </c>
      <c r="AO683">
        <v>0</v>
      </c>
      <c r="AP683" s="2">
        <v>42831</v>
      </c>
      <c r="AQ683" t="s">
        <v>72</v>
      </c>
      <c r="AR683" t="s">
        <v>72</v>
      </c>
      <c r="AS683">
        <v>374</v>
      </c>
      <c r="AT683" s="4">
        <v>42775</v>
      </c>
      <c r="AU683" t="s">
        <v>73</v>
      </c>
      <c r="AV683">
        <v>374</v>
      </c>
      <c r="AW683" s="4">
        <v>42775</v>
      </c>
      <c r="BD683">
        <v>0</v>
      </c>
      <c r="BN683" t="s">
        <v>74</v>
      </c>
    </row>
    <row r="684" spans="1:66">
      <c r="A684">
        <v>100824</v>
      </c>
      <c r="B684" t="s">
        <v>182</v>
      </c>
      <c r="C684" s="1">
        <v>43300101</v>
      </c>
      <c r="D684" t="s">
        <v>67</v>
      </c>
      <c r="H684" t="str">
        <f t="shared" si="85"/>
        <v>05750470634</v>
      </c>
      <c r="I684" t="str">
        <f t="shared" si="85"/>
        <v>05750470634</v>
      </c>
      <c r="K684" t="str">
        <f>""</f>
        <v/>
      </c>
      <c r="M684" t="s">
        <v>68</v>
      </c>
      <c r="N684" t="str">
        <f t="shared" si="86"/>
        <v>FOR</v>
      </c>
      <c r="O684" t="s">
        <v>69</v>
      </c>
      <c r="P684" t="s">
        <v>75</v>
      </c>
      <c r="Q684">
        <v>2016</v>
      </c>
      <c r="R684" s="4">
        <v>42459</v>
      </c>
      <c r="S684" s="2">
        <v>42461</v>
      </c>
      <c r="T684" s="2">
        <v>42459</v>
      </c>
      <c r="U684" s="4">
        <v>42519</v>
      </c>
      <c r="V684" t="s">
        <v>71</v>
      </c>
      <c r="W684" t="str">
        <f>"               3/286"</f>
        <v xml:space="preserve">               3/286</v>
      </c>
      <c r="X684" s="1">
        <v>4500.63</v>
      </c>
      <c r="Y684">
        <v>0</v>
      </c>
      <c r="Z684" s="5">
        <v>3689.04</v>
      </c>
      <c r="AA684" s="3">
        <v>256</v>
      </c>
      <c r="AB684" s="5">
        <v>944394.23999999999</v>
      </c>
      <c r="AC684" s="1">
        <v>3689.04</v>
      </c>
      <c r="AD684">
        <v>256</v>
      </c>
      <c r="AE684" s="1">
        <v>944394.23999999999</v>
      </c>
      <c r="AF684">
        <v>0</v>
      </c>
      <c r="AJ684">
        <v>0</v>
      </c>
      <c r="AK684">
        <v>0</v>
      </c>
      <c r="AL684">
        <v>0</v>
      </c>
      <c r="AM684">
        <v>0</v>
      </c>
      <c r="AN684">
        <v>0</v>
      </c>
      <c r="AO684">
        <v>0</v>
      </c>
      <c r="AP684" s="2">
        <v>42831</v>
      </c>
      <c r="AQ684" t="s">
        <v>72</v>
      </c>
      <c r="AR684" t="s">
        <v>72</v>
      </c>
      <c r="AS684">
        <v>374</v>
      </c>
      <c r="AT684" s="4">
        <v>42775</v>
      </c>
      <c r="AU684" t="s">
        <v>73</v>
      </c>
      <c r="AV684">
        <v>374</v>
      </c>
      <c r="AW684" s="4">
        <v>42775</v>
      </c>
      <c r="BD684">
        <v>0</v>
      </c>
      <c r="BN684" t="s">
        <v>74</v>
      </c>
    </row>
    <row r="685" spans="1:66">
      <c r="A685">
        <v>100824</v>
      </c>
      <c r="B685" t="s">
        <v>182</v>
      </c>
      <c r="C685" s="1">
        <v>43300101</v>
      </c>
      <c r="D685" t="s">
        <v>67</v>
      </c>
      <c r="H685" t="str">
        <f t="shared" si="85"/>
        <v>05750470634</v>
      </c>
      <c r="I685" t="str">
        <f t="shared" si="85"/>
        <v>05750470634</v>
      </c>
      <c r="K685" t="str">
        <f>""</f>
        <v/>
      </c>
      <c r="M685" t="s">
        <v>68</v>
      </c>
      <c r="N685" t="str">
        <f t="shared" si="86"/>
        <v>FOR</v>
      </c>
      <c r="O685" t="s">
        <v>69</v>
      </c>
      <c r="P685" t="s">
        <v>75</v>
      </c>
      <c r="Q685">
        <v>2016</v>
      </c>
      <c r="R685" s="4">
        <v>42460</v>
      </c>
      <c r="S685" s="2">
        <v>42464</v>
      </c>
      <c r="T685" s="2">
        <v>42460</v>
      </c>
      <c r="U685" s="4">
        <v>42520</v>
      </c>
      <c r="V685" t="s">
        <v>71</v>
      </c>
      <c r="W685" t="str">
        <f>"               3/299"</f>
        <v xml:space="preserve">               3/299</v>
      </c>
      <c r="X685" s="1">
        <v>3082.56</v>
      </c>
      <c r="Y685">
        <v>0</v>
      </c>
      <c r="Z685" s="5">
        <v>2964</v>
      </c>
      <c r="AA685" s="3">
        <v>255</v>
      </c>
      <c r="AB685" s="5">
        <v>755820</v>
      </c>
      <c r="AC685" s="1">
        <v>2964</v>
      </c>
      <c r="AD685">
        <v>255</v>
      </c>
      <c r="AE685" s="1">
        <v>755820</v>
      </c>
      <c r="AF685">
        <v>0</v>
      </c>
      <c r="AJ685">
        <v>0</v>
      </c>
      <c r="AK685">
        <v>0</v>
      </c>
      <c r="AL685">
        <v>0</v>
      </c>
      <c r="AM685">
        <v>0</v>
      </c>
      <c r="AN685">
        <v>0</v>
      </c>
      <c r="AO685">
        <v>0</v>
      </c>
      <c r="AP685" s="2">
        <v>42831</v>
      </c>
      <c r="AQ685" t="s">
        <v>72</v>
      </c>
      <c r="AR685" t="s">
        <v>72</v>
      </c>
      <c r="AS685">
        <v>374</v>
      </c>
      <c r="AT685" s="4">
        <v>42775</v>
      </c>
      <c r="AU685" t="s">
        <v>73</v>
      </c>
      <c r="AV685">
        <v>374</v>
      </c>
      <c r="AW685" s="4">
        <v>42775</v>
      </c>
      <c r="BD685">
        <v>0</v>
      </c>
      <c r="BN685" t="s">
        <v>74</v>
      </c>
    </row>
    <row r="686" spans="1:66">
      <c r="A686">
        <v>100824</v>
      </c>
      <c r="B686" t="s">
        <v>182</v>
      </c>
      <c r="C686" s="1">
        <v>43300101</v>
      </c>
      <c r="D686" t="s">
        <v>67</v>
      </c>
      <c r="H686" t="str">
        <f t="shared" si="85"/>
        <v>05750470634</v>
      </c>
      <c r="I686" t="str">
        <f t="shared" si="85"/>
        <v>05750470634</v>
      </c>
      <c r="K686" t="str">
        <f>""</f>
        <v/>
      </c>
      <c r="M686" t="s">
        <v>68</v>
      </c>
      <c r="N686" t="str">
        <f t="shared" si="86"/>
        <v>FOR</v>
      </c>
      <c r="O686" t="s">
        <v>69</v>
      </c>
      <c r="P686" t="s">
        <v>75</v>
      </c>
      <c r="Q686">
        <v>2016</v>
      </c>
      <c r="R686" s="4">
        <v>42460</v>
      </c>
      <c r="S686" s="2">
        <v>42464</v>
      </c>
      <c r="T686" s="2">
        <v>42460</v>
      </c>
      <c r="U686" s="4">
        <v>42520</v>
      </c>
      <c r="V686" t="s">
        <v>71</v>
      </c>
      <c r="W686" t="str">
        <f>"               3/300"</f>
        <v xml:space="preserve">               3/300</v>
      </c>
      <c r="X686" s="1">
        <v>9528.06</v>
      </c>
      <c r="Y686">
        <v>0</v>
      </c>
      <c r="Z686" s="5">
        <v>9161.6</v>
      </c>
      <c r="AA686" s="3">
        <v>255</v>
      </c>
      <c r="AB686" s="5">
        <v>2336208</v>
      </c>
      <c r="AC686" s="1">
        <v>9161.6</v>
      </c>
      <c r="AD686">
        <v>255</v>
      </c>
      <c r="AE686" s="1">
        <v>2336208</v>
      </c>
      <c r="AF686">
        <v>0</v>
      </c>
      <c r="AJ686">
        <v>0</v>
      </c>
      <c r="AK686">
        <v>0</v>
      </c>
      <c r="AL686">
        <v>0</v>
      </c>
      <c r="AM686">
        <v>0</v>
      </c>
      <c r="AN686">
        <v>0</v>
      </c>
      <c r="AO686">
        <v>0</v>
      </c>
      <c r="AP686" s="2">
        <v>42831</v>
      </c>
      <c r="AQ686" t="s">
        <v>72</v>
      </c>
      <c r="AR686" t="s">
        <v>72</v>
      </c>
      <c r="AS686">
        <v>374</v>
      </c>
      <c r="AT686" s="4">
        <v>42775</v>
      </c>
      <c r="AU686" t="s">
        <v>73</v>
      </c>
      <c r="AV686">
        <v>374</v>
      </c>
      <c r="AW686" s="4">
        <v>42775</v>
      </c>
      <c r="BD686">
        <v>0</v>
      </c>
      <c r="BN686" t="s">
        <v>74</v>
      </c>
    </row>
    <row r="687" spans="1:66">
      <c r="A687">
        <v>100824</v>
      </c>
      <c r="B687" t="s">
        <v>182</v>
      </c>
      <c r="C687" s="1">
        <v>43300101</v>
      </c>
      <c r="D687" t="s">
        <v>67</v>
      </c>
      <c r="H687" t="str">
        <f t="shared" si="85"/>
        <v>05750470634</v>
      </c>
      <c r="I687" t="str">
        <f t="shared" si="85"/>
        <v>05750470634</v>
      </c>
      <c r="K687" t="str">
        <f>""</f>
        <v/>
      </c>
      <c r="M687" t="s">
        <v>68</v>
      </c>
      <c r="N687" t="str">
        <f t="shared" si="86"/>
        <v>FOR</v>
      </c>
      <c r="O687" t="s">
        <v>69</v>
      </c>
      <c r="P687" t="s">
        <v>75</v>
      </c>
      <c r="Q687">
        <v>2016</v>
      </c>
      <c r="R687" s="4">
        <v>42460</v>
      </c>
      <c r="S687" s="2">
        <v>42465</v>
      </c>
      <c r="T687" s="2">
        <v>42460</v>
      </c>
      <c r="U687" s="4">
        <v>42520</v>
      </c>
      <c r="V687" t="s">
        <v>71</v>
      </c>
      <c r="W687" t="str">
        <f>"               3/301"</f>
        <v xml:space="preserve">               3/301</v>
      </c>
      <c r="X687" s="1">
        <v>5124.6000000000004</v>
      </c>
      <c r="Y687">
        <v>0</v>
      </c>
      <c r="Z687" s="5">
        <v>4927.5</v>
      </c>
      <c r="AA687" s="3">
        <v>255</v>
      </c>
      <c r="AB687" s="5">
        <v>1256512.5</v>
      </c>
      <c r="AC687" s="1">
        <v>4927.5</v>
      </c>
      <c r="AD687">
        <v>255</v>
      </c>
      <c r="AE687" s="1">
        <v>1256512.5</v>
      </c>
      <c r="AF687">
        <v>0</v>
      </c>
      <c r="AJ687">
        <v>0</v>
      </c>
      <c r="AK687">
        <v>0</v>
      </c>
      <c r="AL687">
        <v>0</v>
      </c>
      <c r="AM687">
        <v>0</v>
      </c>
      <c r="AN687">
        <v>0</v>
      </c>
      <c r="AO687">
        <v>0</v>
      </c>
      <c r="AP687" s="2">
        <v>42831</v>
      </c>
      <c r="AQ687" t="s">
        <v>72</v>
      </c>
      <c r="AR687" t="s">
        <v>72</v>
      </c>
      <c r="AS687">
        <v>374</v>
      </c>
      <c r="AT687" s="4">
        <v>42775</v>
      </c>
      <c r="AU687" t="s">
        <v>73</v>
      </c>
      <c r="AV687">
        <v>374</v>
      </c>
      <c r="AW687" s="4">
        <v>42775</v>
      </c>
      <c r="BD687">
        <v>0</v>
      </c>
      <c r="BN687" t="s">
        <v>74</v>
      </c>
    </row>
    <row r="688" spans="1:66">
      <c r="A688">
        <v>100824</v>
      </c>
      <c r="B688" t="s">
        <v>182</v>
      </c>
      <c r="C688" s="1">
        <v>43300101</v>
      </c>
      <c r="D688" t="s">
        <v>67</v>
      </c>
      <c r="H688" t="str">
        <f t="shared" si="85"/>
        <v>05750470634</v>
      </c>
      <c r="I688" t="str">
        <f t="shared" si="85"/>
        <v>05750470634</v>
      </c>
      <c r="K688" t="str">
        <f>""</f>
        <v/>
      </c>
      <c r="M688" t="s">
        <v>68</v>
      </c>
      <c r="N688" t="str">
        <f t="shared" si="86"/>
        <v>FOR</v>
      </c>
      <c r="O688" t="s">
        <v>69</v>
      </c>
      <c r="P688" t="s">
        <v>75</v>
      </c>
      <c r="Q688">
        <v>2016</v>
      </c>
      <c r="R688" s="4">
        <v>42486</v>
      </c>
      <c r="S688" s="2">
        <v>42487</v>
      </c>
      <c r="T688" s="2">
        <v>42486</v>
      </c>
      <c r="U688" s="4">
        <v>42546</v>
      </c>
      <c r="V688" t="s">
        <v>71</v>
      </c>
      <c r="W688" t="str">
        <f>"               3/375"</f>
        <v xml:space="preserve">               3/375</v>
      </c>
      <c r="X688" s="1">
        <v>13931.32</v>
      </c>
      <c r="Y688">
        <v>0</v>
      </c>
      <c r="Z688" s="5">
        <v>13395.5</v>
      </c>
      <c r="AA688" s="3">
        <v>236</v>
      </c>
      <c r="AB688" s="5">
        <v>3161338</v>
      </c>
      <c r="AC688" s="1">
        <v>13395.5</v>
      </c>
      <c r="AD688">
        <v>236</v>
      </c>
      <c r="AE688" s="1">
        <v>3161338</v>
      </c>
      <c r="AF688">
        <v>0</v>
      </c>
      <c r="AJ688">
        <v>0</v>
      </c>
      <c r="AK688">
        <v>0</v>
      </c>
      <c r="AL688">
        <v>0</v>
      </c>
      <c r="AM688">
        <v>0</v>
      </c>
      <c r="AN688">
        <v>0</v>
      </c>
      <c r="AO688">
        <v>0</v>
      </c>
      <c r="AP688" s="2">
        <v>42831</v>
      </c>
      <c r="AQ688" t="s">
        <v>72</v>
      </c>
      <c r="AR688" t="s">
        <v>72</v>
      </c>
      <c r="AS688">
        <v>469</v>
      </c>
      <c r="AT688" s="4">
        <v>42782</v>
      </c>
      <c r="AU688" t="s">
        <v>73</v>
      </c>
      <c r="AV688">
        <v>469</v>
      </c>
      <c r="AW688" s="4">
        <v>42782</v>
      </c>
      <c r="BD688">
        <v>0</v>
      </c>
      <c r="BN688" t="s">
        <v>74</v>
      </c>
    </row>
    <row r="689" spans="1:66">
      <c r="A689">
        <v>100824</v>
      </c>
      <c r="B689" t="s">
        <v>182</v>
      </c>
      <c r="C689" s="1">
        <v>43300101</v>
      </c>
      <c r="D689" t="s">
        <v>67</v>
      </c>
      <c r="H689" t="str">
        <f t="shared" si="85"/>
        <v>05750470634</v>
      </c>
      <c r="I689" t="str">
        <f t="shared" si="85"/>
        <v>05750470634</v>
      </c>
      <c r="K689" t="str">
        <f>""</f>
        <v/>
      </c>
      <c r="M689" t="s">
        <v>68</v>
      </c>
      <c r="N689" t="str">
        <f t="shared" si="86"/>
        <v>FOR</v>
      </c>
      <c r="O689" t="s">
        <v>69</v>
      </c>
      <c r="P689" t="s">
        <v>75</v>
      </c>
      <c r="Q689">
        <v>2016</v>
      </c>
      <c r="R689" s="4">
        <v>42486</v>
      </c>
      <c r="S689" s="2">
        <v>42486</v>
      </c>
      <c r="T689" s="2">
        <v>42486</v>
      </c>
      <c r="U689" s="4">
        <v>42546</v>
      </c>
      <c r="V689" t="s">
        <v>71</v>
      </c>
      <c r="W689" t="str">
        <f>"               3/376"</f>
        <v xml:space="preserve">               3/376</v>
      </c>
      <c r="X689" s="1">
        <v>6346.91</v>
      </c>
      <c r="Y689">
        <v>0</v>
      </c>
      <c r="Z689" s="5">
        <v>6102.8</v>
      </c>
      <c r="AA689" s="3">
        <v>236</v>
      </c>
      <c r="AB689" s="5">
        <v>1440260.8</v>
      </c>
      <c r="AC689" s="1">
        <v>6102.8</v>
      </c>
      <c r="AD689">
        <v>236</v>
      </c>
      <c r="AE689" s="1">
        <v>1440260.8</v>
      </c>
      <c r="AF689">
        <v>0</v>
      </c>
      <c r="AJ689">
        <v>0</v>
      </c>
      <c r="AK689">
        <v>0</v>
      </c>
      <c r="AL689">
        <v>0</v>
      </c>
      <c r="AM689">
        <v>0</v>
      </c>
      <c r="AN689">
        <v>0</v>
      </c>
      <c r="AO689">
        <v>0</v>
      </c>
      <c r="AP689" s="2">
        <v>42831</v>
      </c>
      <c r="AQ689" t="s">
        <v>72</v>
      </c>
      <c r="AR689" t="s">
        <v>72</v>
      </c>
      <c r="AS689">
        <v>469</v>
      </c>
      <c r="AT689" s="4">
        <v>42782</v>
      </c>
      <c r="AU689" t="s">
        <v>73</v>
      </c>
      <c r="AV689">
        <v>469</v>
      </c>
      <c r="AW689" s="4">
        <v>42782</v>
      </c>
      <c r="BD689">
        <v>0</v>
      </c>
      <c r="BN689" t="s">
        <v>74</v>
      </c>
    </row>
    <row r="690" spans="1:66">
      <c r="A690">
        <v>100824</v>
      </c>
      <c r="B690" t="s">
        <v>182</v>
      </c>
      <c r="C690" s="1">
        <v>43300101</v>
      </c>
      <c r="D690" t="s">
        <v>67</v>
      </c>
      <c r="H690" t="str">
        <f t="shared" si="85"/>
        <v>05750470634</v>
      </c>
      <c r="I690" t="str">
        <f t="shared" si="85"/>
        <v>05750470634</v>
      </c>
      <c r="K690" t="str">
        <f>""</f>
        <v/>
      </c>
      <c r="M690" t="s">
        <v>68</v>
      </c>
      <c r="N690" t="str">
        <f t="shared" si="86"/>
        <v>FOR</v>
      </c>
      <c r="O690" t="s">
        <v>69</v>
      </c>
      <c r="P690" t="s">
        <v>75</v>
      </c>
      <c r="Q690">
        <v>2016</v>
      </c>
      <c r="R690" s="4">
        <v>42486</v>
      </c>
      <c r="S690" s="2">
        <v>42487</v>
      </c>
      <c r="T690" s="2">
        <v>42486</v>
      </c>
      <c r="U690" s="4">
        <v>42546</v>
      </c>
      <c r="V690" t="s">
        <v>71</v>
      </c>
      <c r="W690" t="str">
        <f>"               3/377"</f>
        <v xml:space="preserve">               3/377</v>
      </c>
      <c r="X690" s="1">
        <v>4492.8</v>
      </c>
      <c r="Y690">
        <v>0</v>
      </c>
      <c r="Z690" s="5">
        <v>4320</v>
      </c>
      <c r="AA690" s="3">
        <v>236</v>
      </c>
      <c r="AB690" s="5">
        <v>1019520</v>
      </c>
      <c r="AC690" s="1">
        <v>4320</v>
      </c>
      <c r="AD690">
        <v>236</v>
      </c>
      <c r="AE690" s="1">
        <v>1019520</v>
      </c>
      <c r="AF690">
        <v>0</v>
      </c>
      <c r="AJ690">
        <v>0</v>
      </c>
      <c r="AK690">
        <v>0</v>
      </c>
      <c r="AL690">
        <v>0</v>
      </c>
      <c r="AM690">
        <v>0</v>
      </c>
      <c r="AN690">
        <v>0</v>
      </c>
      <c r="AO690">
        <v>0</v>
      </c>
      <c r="AP690" s="2">
        <v>42831</v>
      </c>
      <c r="AQ690" t="s">
        <v>72</v>
      </c>
      <c r="AR690" t="s">
        <v>72</v>
      </c>
      <c r="AS690">
        <v>469</v>
      </c>
      <c r="AT690" s="4">
        <v>42782</v>
      </c>
      <c r="AU690" t="s">
        <v>73</v>
      </c>
      <c r="AV690">
        <v>469</v>
      </c>
      <c r="AW690" s="4">
        <v>42782</v>
      </c>
      <c r="BD690">
        <v>0</v>
      </c>
      <c r="BN690" t="s">
        <v>74</v>
      </c>
    </row>
    <row r="691" spans="1:66">
      <c r="A691">
        <v>100824</v>
      </c>
      <c r="B691" t="s">
        <v>182</v>
      </c>
      <c r="C691" s="1">
        <v>43300101</v>
      </c>
      <c r="D691" t="s">
        <v>67</v>
      </c>
      <c r="H691" t="str">
        <f t="shared" si="85"/>
        <v>05750470634</v>
      </c>
      <c r="I691" t="str">
        <f t="shared" si="85"/>
        <v>05750470634</v>
      </c>
      <c r="K691" t="str">
        <f>""</f>
        <v/>
      </c>
      <c r="M691" t="s">
        <v>68</v>
      </c>
      <c r="N691" t="str">
        <f t="shared" si="86"/>
        <v>FOR</v>
      </c>
      <c r="O691" t="s">
        <v>69</v>
      </c>
      <c r="P691" t="s">
        <v>75</v>
      </c>
      <c r="Q691">
        <v>2016</v>
      </c>
      <c r="R691" s="4">
        <v>42489</v>
      </c>
      <c r="S691" s="2">
        <v>42493</v>
      </c>
      <c r="T691" s="2">
        <v>42492</v>
      </c>
      <c r="U691" s="4">
        <v>42552</v>
      </c>
      <c r="V691" t="s">
        <v>71</v>
      </c>
      <c r="W691" t="str">
        <f>"               3/402"</f>
        <v xml:space="preserve">               3/402</v>
      </c>
      <c r="X691" s="1">
        <v>4367.58</v>
      </c>
      <c r="Y691">
        <v>0</v>
      </c>
      <c r="Z691" s="5">
        <v>3579.98</v>
      </c>
      <c r="AA691" s="3">
        <v>230</v>
      </c>
      <c r="AB691" s="5">
        <v>823395.4</v>
      </c>
      <c r="AC691" s="1">
        <v>3579.98</v>
      </c>
      <c r="AD691">
        <v>230</v>
      </c>
      <c r="AE691" s="1">
        <v>823395.4</v>
      </c>
      <c r="AF691">
        <v>0</v>
      </c>
      <c r="AJ691">
        <v>0</v>
      </c>
      <c r="AK691">
        <v>0</v>
      </c>
      <c r="AL691">
        <v>0</v>
      </c>
      <c r="AM691">
        <v>0</v>
      </c>
      <c r="AN691">
        <v>0</v>
      </c>
      <c r="AO691">
        <v>0</v>
      </c>
      <c r="AP691" s="2">
        <v>42831</v>
      </c>
      <c r="AQ691" t="s">
        <v>72</v>
      </c>
      <c r="AR691" t="s">
        <v>72</v>
      </c>
      <c r="AS691">
        <v>469</v>
      </c>
      <c r="AT691" s="4">
        <v>42782</v>
      </c>
      <c r="AU691" t="s">
        <v>73</v>
      </c>
      <c r="AV691">
        <v>469</v>
      </c>
      <c r="AW691" s="4">
        <v>42782</v>
      </c>
      <c r="BD691">
        <v>0</v>
      </c>
      <c r="BN691" t="s">
        <v>74</v>
      </c>
    </row>
    <row r="692" spans="1:66">
      <c r="A692">
        <v>100824</v>
      </c>
      <c r="B692" t="s">
        <v>182</v>
      </c>
      <c r="C692" s="1">
        <v>43300101</v>
      </c>
      <c r="D692" t="s">
        <v>67</v>
      </c>
      <c r="H692" t="str">
        <f t="shared" si="85"/>
        <v>05750470634</v>
      </c>
      <c r="I692" t="str">
        <f t="shared" si="85"/>
        <v>05750470634</v>
      </c>
      <c r="K692" t="str">
        <f>""</f>
        <v/>
      </c>
      <c r="M692" t="s">
        <v>68</v>
      </c>
      <c r="N692" t="str">
        <f t="shared" si="86"/>
        <v>FOR</v>
      </c>
      <c r="O692" t="s">
        <v>69</v>
      </c>
      <c r="P692" t="s">
        <v>75</v>
      </c>
      <c r="Q692">
        <v>2016</v>
      </c>
      <c r="R692" s="4">
        <v>42510</v>
      </c>
      <c r="S692" s="2">
        <v>42516</v>
      </c>
      <c r="T692" s="2">
        <v>42510</v>
      </c>
      <c r="U692" s="4">
        <v>42570</v>
      </c>
      <c r="V692" t="s">
        <v>71</v>
      </c>
      <c r="W692" t="str">
        <f>"               3/461"</f>
        <v xml:space="preserve">               3/461</v>
      </c>
      <c r="X692" s="1">
        <v>4193.28</v>
      </c>
      <c r="Y692">
        <v>0</v>
      </c>
      <c r="Z692" s="5">
        <v>4032</v>
      </c>
      <c r="AA692" s="3">
        <v>227</v>
      </c>
      <c r="AB692" s="5">
        <v>915264</v>
      </c>
      <c r="AC692" s="1">
        <v>4032</v>
      </c>
      <c r="AD692">
        <v>227</v>
      </c>
      <c r="AE692" s="1">
        <v>915264</v>
      </c>
      <c r="AF692">
        <v>161.28</v>
      </c>
      <c r="AJ692">
        <v>0</v>
      </c>
      <c r="AK692">
        <v>0</v>
      </c>
      <c r="AL692">
        <v>0</v>
      </c>
      <c r="AM692">
        <v>0</v>
      </c>
      <c r="AN692">
        <v>0</v>
      </c>
      <c r="AO692">
        <v>0</v>
      </c>
      <c r="AP692" s="2">
        <v>42831</v>
      </c>
      <c r="AQ692" t="s">
        <v>72</v>
      </c>
      <c r="AR692" t="s">
        <v>72</v>
      </c>
      <c r="AS692">
        <v>707</v>
      </c>
      <c r="AT692" s="4">
        <v>42797</v>
      </c>
      <c r="AU692" t="s">
        <v>73</v>
      </c>
      <c r="AV692">
        <v>707</v>
      </c>
      <c r="AW692" s="4">
        <v>42797</v>
      </c>
      <c r="BD692">
        <v>161.28</v>
      </c>
      <c r="BN692" t="s">
        <v>74</v>
      </c>
    </row>
    <row r="693" spans="1:66">
      <c r="A693">
        <v>100824</v>
      </c>
      <c r="B693" t="s">
        <v>182</v>
      </c>
      <c r="C693" s="1">
        <v>43300101</v>
      </c>
      <c r="D693" t="s">
        <v>67</v>
      </c>
      <c r="H693" t="str">
        <f t="shared" si="85"/>
        <v>05750470634</v>
      </c>
      <c r="I693" t="str">
        <f t="shared" si="85"/>
        <v>05750470634</v>
      </c>
      <c r="K693" t="str">
        <f>""</f>
        <v/>
      </c>
      <c r="M693" t="s">
        <v>68</v>
      </c>
      <c r="N693" t="str">
        <f t="shared" si="86"/>
        <v>FOR</v>
      </c>
      <c r="O693" t="s">
        <v>69</v>
      </c>
      <c r="P693" t="s">
        <v>75</v>
      </c>
      <c r="Q693">
        <v>2016</v>
      </c>
      <c r="R693" s="4">
        <v>42510</v>
      </c>
      <c r="S693" s="2">
        <v>42516</v>
      </c>
      <c r="T693" s="2">
        <v>42510</v>
      </c>
      <c r="U693" s="4">
        <v>42570</v>
      </c>
      <c r="V693" t="s">
        <v>71</v>
      </c>
      <c r="W693" t="str">
        <f>"               3/462"</f>
        <v xml:space="preserve">               3/462</v>
      </c>
      <c r="X693" s="1">
        <v>7845.97</v>
      </c>
      <c r="Y693">
        <v>0</v>
      </c>
      <c r="Z693" s="5">
        <v>7544.2</v>
      </c>
      <c r="AA693" s="3">
        <v>227</v>
      </c>
      <c r="AB693" s="5">
        <v>1712533.4</v>
      </c>
      <c r="AC693" s="1">
        <v>7544.2</v>
      </c>
      <c r="AD693">
        <v>227</v>
      </c>
      <c r="AE693" s="1">
        <v>1712533.4</v>
      </c>
      <c r="AF693">
        <v>301.77</v>
      </c>
      <c r="AJ693">
        <v>0</v>
      </c>
      <c r="AK693">
        <v>0</v>
      </c>
      <c r="AL693">
        <v>0</v>
      </c>
      <c r="AM693">
        <v>0</v>
      </c>
      <c r="AN693">
        <v>0</v>
      </c>
      <c r="AO693">
        <v>0</v>
      </c>
      <c r="AP693" s="2">
        <v>42831</v>
      </c>
      <c r="AQ693" t="s">
        <v>72</v>
      </c>
      <c r="AR693" t="s">
        <v>72</v>
      </c>
      <c r="AS693">
        <v>707</v>
      </c>
      <c r="AT693" s="4">
        <v>42797</v>
      </c>
      <c r="AU693" t="s">
        <v>73</v>
      </c>
      <c r="AV693">
        <v>707</v>
      </c>
      <c r="AW693" s="4">
        <v>42797</v>
      </c>
      <c r="BD693">
        <v>301.77</v>
      </c>
      <c r="BN693" t="s">
        <v>74</v>
      </c>
    </row>
    <row r="694" spans="1:66">
      <c r="A694">
        <v>100824</v>
      </c>
      <c r="B694" t="s">
        <v>182</v>
      </c>
      <c r="C694" s="1">
        <v>43300101</v>
      </c>
      <c r="D694" t="s">
        <v>67</v>
      </c>
      <c r="H694" t="str">
        <f t="shared" si="85"/>
        <v>05750470634</v>
      </c>
      <c r="I694" t="str">
        <f t="shared" si="85"/>
        <v>05750470634</v>
      </c>
      <c r="K694" t="str">
        <f>""</f>
        <v/>
      </c>
      <c r="M694" t="s">
        <v>68</v>
      </c>
      <c r="N694" t="str">
        <f t="shared" si="86"/>
        <v>FOR</v>
      </c>
      <c r="O694" t="s">
        <v>69</v>
      </c>
      <c r="P694" t="s">
        <v>75</v>
      </c>
      <c r="Q694">
        <v>2016</v>
      </c>
      <c r="R694" s="4">
        <v>42510</v>
      </c>
      <c r="S694" s="2">
        <v>42513</v>
      </c>
      <c r="T694" s="2">
        <v>42510</v>
      </c>
      <c r="U694" s="4">
        <v>42570</v>
      </c>
      <c r="V694" t="s">
        <v>71</v>
      </c>
      <c r="W694" t="str">
        <f>"               3/463"</f>
        <v xml:space="preserve">               3/463</v>
      </c>
      <c r="X694" s="1">
        <v>2968.47</v>
      </c>
      <c r="Y694">
        <v>0</v>
      </c>
      <c r="Z694" s="5">
        <v>2854.3</v>
      </c>
      <c r="AA694" s="3">
        <v>227</v>
      </c>
      <c r="AB694" s="5">
        <v>647926.1</v>
      </c>
      <c r="AC694" s="1">
        <v>2854.3</v>
      </c>
      <c r="AD694">
        <v>227</v>
      </c>
      <c r="AE694" s="1">
        <v>647926.1</v>
      </c>
      <c r="AF694">
        <v>114.17</v>
      </c>
      <c r="AJ694">
        <v>0</v>
      </c>
      <c r="AK694">
        <v>0</v>
      </c>
      <c r="AL694">
        <v>0</v>
      </c>
      <c r="AM694">
        <v>0</v>
      </c>
      <c r="AN694">
        <v>0</v>
      </c>
      <c r="AO694">
        <v>0</v>
      </c>
      <c r="AP694" s="2">
        <v>42831</v>
      </c>
      <c r="AQ694" t="s">
        <v>72</v>
      </c>
      <c r="AR694" t="s">
        <v>72</v>
      </c>
      <c r="AS694">
        <v>707</v>
      </c>
      <c r="AT694" s="4">
        <v>42797</v>
      </c>
      <c r="AU694" t="s">
        <v>73</v>
      </c>
      <c r="AV694">
        <v>707</v>
      </c>
      <c r="AW694" s="4">
        <v>42797</v>
      </c>
      <c r="BD694">
        <v>114.17</v>
      </c>
      <c r="BN694" t="s">
        <v>74</v>
      </c>
    </row>
    <row r="695" spans="1:66">
      <c r="A695">
        <v>100824</v>
      </c>
      <c r="B695" t="s">
        <v>182</v>
      </c>
      <c r="C695" s="1">
        <v>43300101</v>
      </c>
      <c r="D695" t="s">
        <v>67</v>
      </c>
      <c r="H695" t="str">
        <f t="shared" si="85"/>
        <v>05750470634</v>
      </c>
      <c r="I695" t="str">
        <f t="shared" si="85"/>
        <v>05750470634</v>
      </c>
      <c r="K695" t="str">
        <f>""</f>
        <v/>
      </c>
      <c r="M695" t="s">
        <v>68</v>
      </c>
      <c r="N695" t="str">
        <f t="shared" si="86"/>
        <v>FOR</v>
      </c>
      <c r="O695" t="s">
        <v>69</v>
      </c>
      <c r="P695" t="s">
        <v>75</v>
      </c>
      <c r="Q695">
        <v>2016</v>
      </c>
      <c r="R695" s="4">
        <v>42516</v>
      </c>
      <c r="S695" s="2">
        <v>42520</v>
      </c>
      <c r="T695" s="2">
        <v>42516</v>
      </c>
      <c r="U695" s="4">
        <v>42576</v>
      </c>
      <c r="V695" t="s">
        <v>71</v>
      </c>
      <c r="W695" t="str">
        <f>"               3/477"</f>
        <v xml:space="preserve">               3/477</v>
      </c>
      <c r="X695" s="1">
        <v>1248</v>
      </c>
      <c r="Y695">
        <v>0</v>
      </c>
      <c r="Z695" s="5">
        <v>1200</v>
      </c>
      <c r="AA695" s="3">
        <v>221</v>
      </c>
      <c r="AB695" s="5">
        <v>265200</v>
      </c>
      <c r="AC695" s="1">
        <v>1200</v>
      </c>
      <c r="AD695">
        <v>221</v>
      </c>
      <c r="AE695" s="1">
        <v>265200</v>
      </c>
      <c r="AF695">
        <v>48</v>
      </c>
      <c r="AJ695">
        <v>0</v>
      </c>
      <c r="AK695">
        <v>0</v>
      </c>
      <c r="AL695">
        <v>0</v>
      </c>
      <c r="AM695">
        <v>0</v>
      </c>
      <c r="AN695">
        <v>0</v>
      </c>
      <c r="AO695">
        <v>0</v>
      </c>
      <c r="AP695" s="2">
        <v>42831</v>
      </c>
      <c r="AQ695" t="s">
        <v>72</v>
      </c>
      <c r="AR695" t="s">
        <v>72</v>
      </c>
      <c r="AS695">
        <v>707</v>
      </c>
      <c r="AT695" s="4">
        <v>42797</v>
      </c>
      <c r="AU695" t="s">
        <v>73</v>
      </c>
      <c r="AV695">
        <v>707</v>
      </c>
      <c r="AW695" s="4">
        <v>42797</v>
      </c>
      <c r="BD695">
        <v>48</v>
      </c>
      <c r="BN695" t="s">
        <v>74</v>
      </c>
    </row>
    <row r="696" spans="1:66">
      <c r="A696">
        <v>100824</v>
      </c>
      <c r="B696" t="s">
        <v>182</v>
      </c>
      <c r="C696" s="1">
        <v>43300101</v>
      </c>
      <c r="D696" t="s">
        <v>67</v>
      </c>
      <c r="H696" t="str">
        <f t="shared" si="85"/>
        <v>05750470634</v>
      </c>
      <c r="I696" t="str">
        <f t="shared" si="85"/>
        <v>05750470634</v>
      </c>
      <c r="K696" t="str">
        <f>""</f>
        <v/>
      </c>
      <c r="M696" t="s">
        <v>68</v>
      </c>
      <c r="N696" t="str">
        <f t="shared" si="86"/>
        <v>FOR</v>
      </c>
      <c r="O696" t="s">
        <v>69</v>
      </c>
      <c r="P696" t="s">
        <v>75</v>
      </c>
      <c r="Q696">
        <v>2016</v>
      </c>
      <c r="R696" s="4">
        <v>42516</v>
      </c>
      <c r="S696" s="2">
        <v>42520</v>
      </c>
      <c r="T696" s="2">
        <v>42516</v>
      </c>
      <c r="U696" s="4">
        <v>42576</v>
      </c>
      <c r="V696" t="s">
        <v>71</v>
      </c>
      <c r="W696" t="str">
        <f>"               3/478"</f>
        <v xml:space="preserve">               3/478</v>
      </c>
      <c r="X696" s="1">
        <v>7276.78</v>
      </c>
      <c r="Y696">
        <v>0</v>
      </c>
      <c r="Z696" s="5">
        <v>6996.9</v>
      </c>
      <c r="AA696" s="3">
        <v>221</v>
      </c>
      <c r="AB696" s="5">
        <v>1546314.9</v>
      </c>
      <c r="AC696" s="1">
        <v>6996.9</v>
      </c>
      <c r="AD696">
        <v>221</v>
      </c>
      <c r="AE696" s="1">
        <v>1546314.9</v>
      </c>
      <c r="AF696">
        <v>279.88</v>
      </c>
      <c r="AJ696">
        <v>0</v>
      </c>
      <c r="AK696">
        <v>0</v>
      </c>
      <c r="AL696">
        <v>0</v>
      </c>
      <c r="AM696">
        <v>0</v>
      </c>
      <c r="AN696">
        <v>0</v>
      </c>
      <c r="AO696">
        <v>0</v>
      </c>
      <c r="AP696" s="2">
        <v>42831</v>
      </c>
      <c r="AQ696" t="s">
        <v>72</v>
      </c>
      <c r="AR696" t="s">
        <v>72</v>
      </c>
      <c r="AS696">
        <v>707</v>
      </c>
      <c r="AT696" s="4">
        <v>42797</v>
      </c>
      <c r="AU696" t="s">
        <v>73</v>
      </c>
      <c r="AV696">
        <v>707</v>
      </c>
      <c r="AW696" s="4">
        <v>42797</v>
      </c>
      <c r="BD696">
        <v>279.88</v>
      </c>
      <c r="BN696" t="s">
        <v>74</v>
      </c>
    </row>
    <row r="697" spans="1:66">
      <c r="A697">
        <v>100824</v>
      </c>
      <c r="B697" t="s">
        <v>182</v>
      </c>
      <c r="C697" s="1">
        <v>43300101</v>
      </c>
      <c r="D697" t="s">
        <v>67</v>
      </c>
      <c r="H697" t="str">
        <f t="shared" si="85"/>
        <v>05750470634</v>
      </c>
      <c r="I697" t="str">
        <f t="shared" si="85"/>
        <v>05750470634</v>
      </c>
      <c r="K697" t="str">
        <f>""</f>
        <v/>
      </c>
      <c r="M697" t="s">
        <v>68</v>
      </c>
      <c r="N697" t="str">
        <f t="shared" si="86"/>
        <v>FOR</v>
      </c>
      <c r="O697" t="s">
        <v>69</v>
      </c>
      <c r="P697" t="s">
        <v>75</v>
      </c>
      <c r="Q697">
        <v>2016</v>
      </c>
      <c r="R697" s="4">
        <v>42516</v>
      </c>
      <c r="S697" s="2">
        <v>42520</v>
      </c>
      <c r="T697" s="2">
        <v>42516</v>
      </c>
      <c r="U697" s="4">
        <v>42576</v>
      </c>
      <c r="V697" t="s">
        <v>71</v>
      </c>
      <c r="W697" t="str">
        <f>"               3/479"</f>
        <v xml:space="preserve">               3/479</v>
      </c>
      <c r="X697" s="1">
        <v>3591.02</v>
      </c>
      <c r="Y697">
        <v>0</v>
      </c>
      <c r="Z697" s="5">
        <v>3452.9</v>
      </c>
      <c r="AA697" s="3">
        <v>221</v>
      </c>
      <c r="AB697" s="5">
        <v>763090.9</v>
      </c>
      <c r="AC697" s="1">
        <v>3452.9</v>
      </c>
      <c r="AD697">
        <v>221</v>
      </c>
      <c r="AE697" s="1">
        <v>763090.9</v>
      </c>
      <c r="AF697">
        <v>138.12</v>
      </c>
      <c r="AJ697">
        <v>0</v>
      </c>
      <c r="AK697">
        <v>0</v>
      </c>
      <c r="AL697">
        <v>0</v>
      </c>
      <c r="AM697">
        <v>0</v>
      </c>
      <c r="AN697">
        <v>0</v>
      </c>
      <c r="AO697">
        <v>0</v>
      </c>
      <c r="AP697" s="2">
        <v>42831</v>
      </c>
      <c r="AQ697" t="s">
        <v>72</v>
      </c>
      <c r="AR697" t="s">
        <v>72</v>
      </c>
      <c r="AS697">
        <v>707</v>
      </c>
      <c r="AT697" s="4">
        <v>42797</v>
      </c>
      <c r="AU697" t="s">
        <v>73</v>
      </c>
      <c r="AV697">
        <v>707</v>
      </c>
      <c r="AW697" s="4">
        <v>42797</v>
      </c>
      <c r="BD697">
        <v>138.12</v>
      </c>
      <c r="BN697" t="s">
        <v>74</v>
      </c>
    </row>
    <row r="698" spans="1:66">
      <c r="A698">
        <v>100824</v>
      </c>
      <c r="B698" t="s">
        <v>182</v>
      </c>
      <c r="C698" s="1">
        <v>43300101</v>
      </c>
      <c r="D698" t="s">
        <v>67</v>
      </c>
      <c r="H698" t="str">
        <f t="shared" si="85"/>
        <v>05750470634</v>
      </c>
      <c r="I698" t="str">
        <f t="shared" si="85"/>
        <v>05750470634</v>
      </c>
      <c r="K698" t="str">
        <f>""</f>
        <v/>
      </c>
      <c r="M698" t="s">
        <v>68</v>
      </c>
      <c r="N698" t="str">
        <f t="shared" si="86"/>
        <v>FOR</v>
      </c>
      <c r="O698" t="s">
        <v>69</v>
      </c>
      <c r="P698" t="s">
        <v>75</v>
      </c>
      <c r="Q698">
        <v>2016</v>
      </c>
      <c r="R698" s="4">
        <v>42521</v>
      </c>
      <c r="S698" s="2">
        <v>42529</v>
      </c>
      <c r="T698" s="2">
        <v>42527</v>
      </c>
      <c r="U698" s="4">
        <v>42587</v>
      </c>
      <c r="V698" t="s">
        <v>71</v>
      </c>
      <c r="W698" t="str">
        <f>"               3/500"</f>
        <v xml:space="preserve">               3/500</v>
      </c>
      <c r="X698" s="1">
        <v>4633.68</v>
      </c>
      <c r="Y698">
        <v>0</v>
      </c>
      <c r="Z698" s="5">
        <v>3798.1</v>
      </c>
      <c r="AA698" s="3">
        <v>210</v>
      </c>
      <c r="AB698" s="5">
        <v>797601</v>
      </c>
      <c r="AC698" s="1">
        <v>3798.1</v>
      </c>
      <c r="AD698">
        <v>210</v>
      </c>
      <c r="AE698" s="1">
        <v>797601</v>
      </c>
      <c r="AF698">
        <v>835.58</v>
      </c>
      <c r="AJ698">
        <v>0</v>
      </c>
      <c r="AK698">
        <v>0</v>
      </c>
      <c r="AL698">
        <v>0</v>
      </c>
      <c r="AM698">
        <v>0</v>
      </c>
      <c r="AN698">
        <v>0</v>
      </c>
      <c r="AO698">
        <v>0</v>
      </c>
      <c r="AP698" s="2">
        <v>42831</v>
      </c>
      <c r="AQ698" t="s">
        <v>72</v>
      </c>
      <c r="AR698" t="s">
        <v>72</v>
      </c>
      <c r="AS698">
        <v>707</v>
      </c>
      <c r="AT698" s="4">
        <v>42797</v>
      </c>
      <c r="AU698" t="s">
        <v>73</v>
      </c>
      <c r="AV698">
        <v>707</v>
      </c>
      <c r="AW698" s="4">
        <v>42797</v>
      </c>
      <c r="BD698">
        <v>835.58</v>
      </c>
      <c r="BN698" t="s">
        <v>74</v>
      </c>
    </row>
    <row r="699" spans="1:66">
      <c r="A699">
        <v>100850</v>
      </c>
      <c r="B699" t="s">
        <v>183</v>
      </c>
      <c r="C699" s="1">
        <v>43300101</v>
      </c>
      <c r="D699" t="s">
        <v>67</v>
      </c>
      <c r="H699" t="str">
        <f t="shared" ref="H699:I701" si="87">"09699320017"</f>
        <v>09699320017</v>
      </c>
      <c r="I699" t="str">
        <f t="shared" si="87"/>
        <v>09699320017</v>
      </c>
      <c r="K699" t="str">
        <f>""</f>
        <v/>
      </c>
      <c r="M699" t="s">
        <v>68</v>
      </c>
      <c r="N699" t="str">
        <f t="shared" si="86"/>
        <v>FOR</v>
      </c>
      <c r="O699" t="s">
        <v>69</v>
      </c>
      <c r="P699" t="s">
        <v>70</v>
      </c>
      <c r="Q699">
        <v>2015</v>
      </c>
      <c r="R699" s="4">
        <v>42338</v>
      </c>
      <c r="S699" s="2">
        <v>42717</v>
      </c>
      <c r="T699" s="2">
        <v>42717</v>
      </c>
      <c r="U699" s="4">
        <v>42777</v>
      </c>
      <c r="V699" t="s">
        <v>71</v>
      </c>
      <c r="W699" t="str">
        <f>"          0537091519"</f>
        <v xml:space="preserve">          0537091519</v>
      </c>
      <c r="X699" s="1">
        <v>8788</v>
      </c>
      <c r="Y699">
        <v>0</v>
      </c>
      <c r="Z699" s="5">
        <v>8450</v>
      </c>
      <c r="AA699" s="3">
        <v>5</v>
      </c>
      <c r="AB699" s="5">
        <v>42250</v>
      </c>
      <c r="AC699" s="1">
        <v>8450</v>
      </c>
      <c r="AD699">
        <v>5</v>
      </c>
      <c r="AE699" s="1">
        <v>42250</v>
      </c>
      <c r="AF699">
        <v>0</v>
      </c>
      <c r="AJ699">
        <v>0</v>
      </c>
      <c r="AK699">
        <v>0</v>
      </c>
      <c r="AL699">
        <v>0</v>
      </c>
      <c r="AM699">
        <v>0</v>
      </c>
      <c r="AN699">
        <v>0</v>
      </c>
      <c r="AO699">
        <v>0</v>
      </c>
      <c r="AP699" s="2">
        <v>42831</v>
      </c>
      <c r="AQ699" t="s">
        <v>72</v>
      </c>
      <c r="AR699" t="s">
        <v>72</v>
      </c>
      <c r="AS699">
        <v>487</v>
      </c>
      <c r="AT699" s="4">
        <v>42782</v>
      </c>
      <c r="AU699" t="s">
        <v>73</v>
      </c>
      <c r="AV699">
        <v>487</v>
      </c>
      <c r="AW699" s="4">
        <v>42782</v>
      </c>
      <c r="BD699">
        <v>0</v>
      </c>
      <c r="BN699" t="s">
        <v>74</v>
      </c>
    </row>
    <row r="700" spans="1:66">
      <c r="A700">
        <v>100850</v>
      </c>
      <c r="B700" t="s">
        <v>183</v>
      </c>
      <c r="C700" s="1">
        <v>43300101</v>
      </c>
      <c r="D700" t="s">
        <v>67</v>
      </c>
      <c r="H700" t="str">
        <f t="shared" si="87"/>
        <v>09699320017</v>
      </c>
      <c r="I700" t="str">
        <f t="shared" si="87"/>
        <v>09699320017</v>
      </c>
      <c r="K700" t="str">
        <f>""</f>
        <v/>
      </c>
      <c r="M700" t="s">
        <v>68</v>
      </c>
      <c r="N700" t="str">
        <f t="shared" si="86"/>
        <v>FOR</v>
      </c>
      <c r="O700" t="s">
        <v>69</v>
      </c>
      <c r="P700" t="s">
        <v>70</v>
      </c>
      <c r="Q700">
        <v>2015</v>
      </c>
      <c r="R700" s="4">
        <v>42338</v>
      </c>
      <c r="S700" s="2">
        <v>42717</v>
      </c>
      <c r="T700" s="2">
        <v>42717</v>
      </c>
      <c r="U700" s="4">
        <v>42777</v>
      </c>
      <c r="V700" t="s">
        <v>71</v>
      </c>
      <c r="W700" t="str">
        <f>"          0537091521"</f>
        <v xml:space="preserve">          0537091521</v>
      </c>
      <c r="X700" s="1">
        <v>8788</v>
      </c>
      <c r="Y700">
        <v>0</v>
      </c>
      <c r="Z700" s="5">
        <v>8450</v>
      </c>
      <c r="AA700" s="3">
        <v>5</v>
      </c>
      <c r="AB700" s="5">
        <v>42250</v>
      </c>
      <c r="AC700" s="1">
        <v>8450</v>
      </c>
      <c r="AD700">
        <v>5</v>
      </c>
      <c r="AE700" s="1">
        <v>42250</v>
      </c>
      <c r="AF700">
        <v>0</v>
      </c>
      <c r="AJ700">
        <v>0</v>
      </c>
      <c r="AK700">
        <v>0</v>
      </c>
      <c r="AL700">
        <v>0</v>
      </c>
      <c r="AM700">
        <v>0</v>
      </c>
      <c r="AN700">
        <v>0</v>
      </c>
      <c r="AO700">
        <v>0</v>
      </c>
      <c r="AP700" s="2">
        <v>42831</v>
      </c>
      <c r="AQ700" t="s">
        <v>72</v>
      </c>
      <c r="AR700" t="s">
        <v>72</v>
      </c>
      <c r="AS700">
        <v>487</v>
      </c>
      <c r="AT700" s="4">
        <v>42782</v>
      </c>
      <c r="AU700" t="s">
        <v>73</v>
      </c>
      <c r="AV700">
        <v>487</v>
      </c>
      <c r="AW700" s="4">
        <v>42782</v>
      </c>
      <c r="BD700">
        <v>0</v>
      </c>
      <c r="BN700" t="s">
        <v>74</v>
      </c>
    </row>
    <row r="701" spans="1:66">
      <c r="A701">
        <v>100850</v>
      </c>
      <c r="B701" t="s">
        <v>183</v>
      </c>
      <c r="C701" s="1">
        <v>43300101</v>
      </c>
      <c r="D701" t="s">
        <v>67</v>
      </c>
      <c r="H701" t="str">
        <f t="shared" si="87"/>
        <v>09699320017</v>
      </c>
      <c r="I701" t="str">
        <f t="shared" si="87"/>
        <v>09699320017</v>
      </c>
      <c r="K701" t="str">
        <f>""</f>
        <v/>
      </c>
      <c r="M701" t="s">
        <v>68</v>
      </c>
      <c r="N701" t="str">
        <f t="shared" si="86"/>
        <v>FOR</v>
      </c>
      <c r="O701" t="s">
        <v>69</v>
      </c>
      <c r="P701" t="s">
        <v>70</v>
      </c>
      <c r="Q701">
        <v>2015</v>
      </c>
      <c r="R701" s="4">
        <v>42338</v>
      </c>
      <c r="S701" s="2">
        <v>42717</v>
      </c>
      <c r="T701" s="2">
        <v>42717</v>
      </c>
      <c r="U701" s="4">
        <v>42777</v>
      </c>
      <c r="V701" t="s">
        <v>71</v>
      </c>
      <c r="W701" t="str">
        <f>"          0537091523"</f>
        <v xml:space="preserve">          0537091523</v>
      </c>
      <c r="X701" s="1">
        <v>12376</v>
      </c>
      <c r="Y701">
        <v>0</v>
      </c>
      <c r="Z701" s="5">
        <v>11900</v>
      </c>
      <c r="AA701" s="3">
        <v>5</v>
      </c>
      <c r="AB701" s="5">
        <v>59500</v>
      </c>
      <c r="AC701" s="1">
        <v>11900</v>
      </c>
      <c r="AD701">
        <v>5</v>
      </c>
      <c r="AE701" s="1">
        <v>59500</v>
      </c>
      <c r="AF701">
        <v>0</v>
      </c>
      <c r="AJ701">
        <v>0</v>
      </c>
      <c r="AK701">
        <v>0</v>
      </c>
      <c r="AL701">
        <v>0</v>
      </c>
      <c r="AM701">
        <v>0</v>
      </c>
      <c r="AN701">
        <v>0</v>
      </c>
      <c r="AO701">
        <v>0</v>
      </c>
      <c r="AP701" s="2">
        <v>42831</v>
      </c>
      <c r="AQ701" t="s">
        <v>72</v>
      </c>
      <c r="AR701" t="s">
        <v>72</v>
      </c>
      <c r="AS701">
        <v>487</v>
      </c>
      <c r="AT701" s="4">
        <v>42782</v>
      </c>
      <c r="AU701" t="s">
        <v>73</v>
      </c>
      <c r="AV701">
        <v>487</v>
      </c>
      <c r="AW701" s="4">
        <v>42782</v>
      </c>
      <c r="BD701">
        <v>0</v>
      </c>
      <c r="BN701" t="s">
        <v>74</v>
      </c>
    </row>
    <row r="702" spans="1:66">
      <c r="A702">
        <v>100866</v>
      </c>
      <c r="B702" t="s">
        <v>184</v>
      </c>
      <c r="C702" s="1">
        <v>43300101</v>
      </c>
      <c r="D702" t="s">
        <v>67</v>
      </c>
      <c r="H702" t="str">
        <f>"00753720879"</f>
        <v>00753720879</v>
      </c>
      <c r="I702" t="str">
        <f>"00753720879"</f>
        <v>00753720879</v>
      </c>
      <c r="K702" t="str">
        <f>""</f>
        <v/>
      </c>
      <c r="M702" t="s">
        <v>68</v>
      </c>
      <c r="N702" t="str">
        <f t="shared" si="86"/>
        <v>FOR</v>
      </c>
      <c r="O702" t="s">
        <v>69</v>
      </c>
      <c r="P702" t="s">
        <v>75</v>
      </c>
      <c r="Q702">
        <v>2016</v>
      </c>
      <c r="R702" s="4">
        <v>42443</v>
      </c>
      <c r="S702" s="2">
        <v>42492</v>
      </c>
      <c r="T702" s="2">
        <v>42489</v>
      </c>
      <c r="U702" s="4">
        <v>42549</v>
      </c>
      <c r="V702" t="s">
        <v>71</v>
      </c>
      <c r="W702" t="str">
        <f>"          000291/P16"</f>
        <v xml:space="preserve">          000291/P16</v>
      </c>
      <c r="X702" s="1">
        <v>1914.18</v>
      </c>
      <c r="Y702">
        <v>0</v>
      </c>
      <c r="Z702" s="5">
        <v>1569</v>
      </c>
      <c r="AA702" s="3">
        <v>217</v>
      </c>
      <c r="AB702" s="5">
        <v>340473</v>
      </c>
      <c r="AC702" s="1">
        <v>1569</v>
      </c>
      <c r="AD702">
        <v>217</v>
      </c>
      <c r="AE702" s="1">
        <v>340473</v>
      </c>
      <c r="AF702">
        <v>0</v>
      </c>
      <c r="AJ702">
        <v>0</v>
      </c>
      <c r="AK702">
        <v>0</v>
      </c>
      <c r="AL702">
        <v>0</v>
      </c>
      <c r="AM702">
        <v>0</v>
      </c>
      <c r="AN702">
        <v>0</v>
      </c>
      <c r="AO702">
        <v>0</v>
      </c>
      <c r="AP702" s="2">
        <v>42831</v>
      </c>
      <c r="AQ702" t="s">
        <v>72</v>
      </c>
      <c r="AR702" t="s">
        <v>72</v>
      </c>
      <c r="AS702">
        <v>174</v>
      </c>
      <c r="AT702" s="4">
        <v>42766</v>
      </c>
      <c r="AU702" t="s">
        <v>73</v>
      </c>
      <c r="AV702">
        <v>174</v>
      </c>
      <c r="AW702" s="4">
        <v>42766</v>
      </c>
      <c r="BD702">
        <v>0</v>
      </c>
      <c r="BN702" t="s">
        <v>74</v>
      </c>
    </row>
    <row r="703" spans="1:66">
      <c r="A703">
        <v>100866</v>
      </c>
      <c r="B703" t="s">
        <v>184</v>
      </c>
      <c r="C703" s="1">
        <v>43300101</v>
      </c>
      <c r="D703" t="s">
        <v>67</v>
      </c>
      <c r="H703" t="str">
        <f>"00753720879"</f>
        <v>00753720879</v>
      </c>
      <c r="I703" t="str">
        <f>"00753720879"</f>
        <v>00753720879</v>
      </c>
      <c r="K703" t="str">
        <f>""</f>
        <v/>
      </c>
      <c r="M703" t="s">
        <v>68</v>
      </c>
      <c r="N703" t="str">
        <f t="shared" si="86"/>
        <v>FOR</v>
      </c>
      <c r="O703" t="s">
        <v>69</v>
      </c>
      <c r="P703" t="s">
        <v>75</v>
      </c>
      <c r="Q703">
        <v>2016</v>
      </c>
      <c r="R703" s="4">
        <v>42471</v>
      </c>
      <c r="S703" s="2">
        <v>42506</v>
      </c>
      <c r="T703" s="2">
        <v>42503</v>
      </c>
      <c r="U703" s="4">
        <v>42563</v>
      </c>
      <c r="V703" t="s">
        <v>71</v>
      </c>
      <c r="W703" t="str">
        <f>"          000455/P16"</f>
        <v xml:space="preserve">          000455/P16</v>
      </c>
      <c r="X703" s="1">
        <v>1914.18</v>
      </c>
      <c r="Y703">
        <v>0</v>
      </c>
      <c r="Z703" s="5">
        <v>1569</v>
      </c>
      <c r="AA703" s="3">
        <v>218</v>
      </c>
      <c r="AB703" s="5">
        <v>342042</v>
      </c>
      <c r="AC703" s="1">
        <v>1569</v>
      </c>
      <c r="AD703">
        <v>218</v>
      </c>
      <c r="AE703" s="1">
        <v>342042</v>
      </c>
      <c r="AF703">
        <v>0</v>
      </c>
      <c r="AJ703">
        <v>0</v>
      </c>
      <c r="AK703">
        <v>0</v>
      </c>
      <c r="AL703">
        <v>0</v>
      </c>
      <c r="AM703">
        <v>0</v>
      </c>
      <c r="AN703">
        <v>0</v>
      </c>
      <c r="AO703">
        <v>0</v>
      </c>
      <c r="AP703" s="2">
        <v>42831</v>
      </c>
      <c r="AQ703" t="s">
        <v>72</v>
      </c>
      <c r="AR703" t="s">
        <v>72</v>
      </c>
      <c r="AS703">
        <v>455</v>
      </c>
      <c r="AT703" s="4">
        <v>42781</v>
      </c>
      <c r="AU703" t="s">
        <v>73</v>
      </c>
      <c r="AV703">
        <v>455</v>
      </c>
      <c r="AW703" s="4">
        <v>42781</v>
      </c>
      <c r="BD703">
        <v>0</v>
      </c>
      <c r="BN703" t="s">
        <v>74</v>
      </c>
    </row>
    <row r="704" spans="1:66">
      <c r="A704">
        <v>100879</v>
      </c>
      <c r="B704" t="s">
        <v>185</v>
      </c>
      <c r="C704" s="1">
        <v>43300101</v>
      </c>
      <c r="D704" t="s">
        <v>67</v>
      </c>
      <c r="H704" t="str">
        <f t="shared" ref="H704:H723" si="88">"04720630633"</f>
        <v>04720630633</v>
      </c>
      <c r="I704" t="str">
        <f t="shared" ref="I704:I723" si="89">"01354901215"</f>
        <v>01354901215</v>
      </c>
      <c r="K704" t="str">
        <f>""</f>
        <v/>
      </c>
      <c r="M704" t="s">
        <v>68</v>
      </c>
      <c r="N704" t="str">
        <f t="shared" si="86"/>
        <v>FOR</v>
      </c>
      <c r="O704" t="s">
        <v>69</v>
      </c>
      <c r="P704" t="s">
        <v>75</v>
      </c>
      <c r="Q704">
        <v>2016</v>
      </c>
      <c r="R704" s="4">
        <v>42650</v>
      </c>
      <c r="S704" s="2">
        <v>42654</v>
      </c>
      <c r="T704" s="2">
        <v>42653</v>
      </c>
      <c r="U704" s="4">
        <v>42713</v>
      </c>
      <c r="V704" t="s">
        <v>71</v>
      </c>
      <c r="W704" t="str">
        <f>"             10185/W"</f>
        <v xml:space="preserve">             10185/W</v>
      </c>
      <c r="X704" s="1">
        <v>8235</v>
      </c>
      <c r="Y704">
        <v>0</v>
      </c>
      <c r="Z704" s="5">
        <v>6750</v>
      </c>
      <c r="AA704" s="3">
        <v>55</v>
      </c>
      <c r="AB704" s="5">
        <v>371250</v>
      </c>
      <c r="AC704" s="1">
        <v>6750</v>
      </c>
      <c r="AD704">
        <v>55</v>
      </c>
      <c r="AE704" s="1">
        <v>371250</v>
      </c>
      <c r="AF704">
        <v>0</v>
      </c>
      <c r="AJ704">
        <v>0</v>
      </c>
      <c r="AK704">
        <v>0</v>
      </c>
      <c r="AL704">
        <v>0</v>
      </c>
      <c r="AM704">
        <v>0</v>
      </c>
      <c r="AN704">
        <v>0</v>
      </c>
      <c r="AO704">
        <v>0</v>
      </c>
      <c r="AP704" s="2">
        <v>42831</v>
      </c>
      <c r="AQ704" t="s">
        <v>72</v>
      </c>
      <c r="AR704" t="s">
        <v>72</v>
      </c>
      <c r="AS704">
        <v>268</v>
      </c>
      <c r="AT704" s="4">
        <v>42768</v>
      </c>
      <c r="AU704" t="s">
        <v>73</v>
      </c>
      <c r="AV704">
        <v>268</v>
      </c>
      <c r="AW704" s="4">
        <v>42768</v>
      </c>
      <c r="BD704">
        <v>0</v>
      </c>
      <c r="BN704" t="s">
        <v>74</v>
      </c>
    </row>
    <row r="705" spans="1:66">
      <c r="A705">
        <v>100879</v>
      </c>
      <c r="B705" t="s">
        <v>185</v>
      </c>
      <c r="C705" s="1">
        <v>43300101</v>
      </c>
      <c r="D705" t="s">
        <v>67</v>
      </c>
      <c r="H705" t="str">
        <f t="shared" si="88"/>
        <v>04720630633</v>
      </c>
      <c r="I705" t="str">
        <f t="shared" si="89"/>
        <v>01354901215</v>
      </c>
      <c r="K705" t="str">
        <f>""</f>
        <v/>
      </c>
      <c r="M705" t="s">
        <v>68</v>
      </c>
      <c r="N705" t="str">
        <f t="shared" ref="N705:N736" si="90">"FOR"</f>
        <v>FOR</v>
      </c>
      <c r="O705" t="s">
        <v>69</v>
      </c>
      <c r="P705" t="s">
        <v>75</v>
      </c>
      <c r="Q705">
        <v>2016</v>
      </c>
      <c r="R705" s="4">
        <v>42650</v>
      </c>
      <c r="S705" s="2">
        <v>42654</v>
      </c>
      <c r="T705" s="2">
        <v>42653</v>
      </c>
      <c r="U705" s="4">
        <v>42713</v>
      </c>
      <c r="V705" t="s">
        <v>71</v>
      </c>
      <c r="W705" t="str">
        <f>"             10186/W"</f>
        <v xml:space="preserve">             10186/W</v>
      </c>
      <c r="X705" s="1">
        <v>1180.96</v>
      </c>
      <c r="Y705">
        <v>0</v>
      </c>
      <c r="Z705" s="5">
        <v>968</v>
      </c>
      <c r="AA705" s="3">
        <v>55</v>
      </c>
      <c r="AB705" s="5">
        <v>53240</v>
      </c>
      <c r="AC705">
        <v>968</v>
      </c>
      <c r="AD705">
        <v>55</v>
      </c>
      <c r="AE705" s="1">
        <v>53240</v>
      </c>
      <c r="AF705">
        <v>0</v>
      </c>
      <c r="AJ705">
        <v>0</v>
      </c>
      <c r="AK705">
        <v>0</v>
      </c>
      <c r="AL705">
        <v>0</v>
      </c>
      <c r="AM705">
        <v>0</v>
      </c>
      <c r="AN705">
        <v>0</v>
      </c>
      <c r="AO705">
        <v>0</v>
      </c>
      <c r="AP705" s="2">
        <v>42831</v>
      </c>
      <c r="AQ705" t="s">
        <v>72</v>
      </c>
      <c r="AR705" t="s">
        <v>72</v>
      </c>
      <c r="AS705">
        <v>268</v>
      </c>
      <c r="AT705" s="4">
        <v>42768</v>
      </c>
      <c r="AU705" t="s">
        <v>73</v>
      </c>
      <c r="AV705">
        <v>268</v>
      </c>
      <c r="AW705" s="4">
        <v>42768</v>
      </c>
      <c r="BD705">
        <v>0</v>
      </c>
      <c r="BN705" t="s">
        <v>74</v>
      </c>
    </row>
    <row r="706" spans="1:66">
      <c r="A706">
        <v>100879</v>
      </c>
      <c r="B706" t="s">
        <v>185</v>
      </c>
      <c r="C706" s="1">
        <v>43300101</v>
      </c>
      <c r="D706" t="s">
        <v>67</v>
      </c>
      <c r="H706" t="str">
        <f t="shared" si="88"/>
        <v>04720630633</v>
      </c>
      <c r="I706" t="str">
        <f t="shared" si="89"/>
        <v>01354901215</v>
      </c>
      <c r="K706" t="str">
        <f>""</f>
        <v/>
      </c>
      <c r="M706" t="s">
        <v>68</v>
      </c>
      <c r="N706" t="str">
        <f t="shared" si="90"/>
        <v>FOR</v>
      </c>
      <c r="O706" t="s">
        <v>69</v>
      </c>
      <c r="P706" t="s">
        <v>75</v>
      </c>
      <c r="Q706">
        <v>2016</v>
      </c>
      <c r="R706" s="4">
        <v>42664</v>
      </c>
      <c r="S706" s="2">
        <v>42676</v>
      </c>
      <c r="T706" s="2">
        <v>42670</v>
      </c>
      <c r="U706" s="4">
        <v>42730</v>
      </c>
      <c r="V706" t="s">
        <v>71</v>
      </c>
      <c r="W706" t="str">
        <f>"             10670/W"</f>
        <v xml:space="preserve">             10670/W</v>
      </c>
      <c r="X706" s="1">
        <v>1084.3399999999999</v>
      </c>
      <c r="Y706">
        <v>0</v>
      </c>
      <c r="Z706" s="5">
        <v>888.8</v>
      </c>
      <c r="AA706" s="3">
        <v>38</v>
      </c>
      <c r="AB706" s="5">
        <v>33774.400000000001</v>
      </c>
      <c r="AC706">
        <v>888.8</v>
      </c>
      <c r="AD706">
        <v>38</v>
      </c>
      <c r="AE706" s="1">
        <v>33774.400000000001</v>
      </c>
      <c r="AF706">
        <v>0</v>
      </c>
      <c r="AJ706">
        <v>0</v>
      </c>
      <c r="AK706">
        <v>0</v>
      </c>
      <c r="AL706">
        <v>0</v>
      </c>
      <c r="AM706">
        <v>0</v>
      </c>
      <c r="AN706">
        <v>0</v>
      </c>
      <c r="AO706">
        <v>0</v>
      </c>
      <c r="AP706" s="2">
        <v>42831</v>
      </c>
      <c r="AQ706" t="s">
        <v>72</v>
      </c>
      <c r="AR706" t="s">
        <v>72</v>
      </c>
      <c r="AS706">
        <v>268</v>
      </c>
      <c r="AT706" s="4">
        <v>42768</v>
      </c>
      <c r="AU706" t="s">
        <v>73</v>
      </c>
      <c r="AV706">
        <v>268</v>
      </c>
      <c r="AW706" s="4">
        <v>42768</v>
      </c>
      <c r="BD706">
        <v>0</v>
      </c>
      <c r="BN706" t="s">
        <v>74</v>
      </c>
    </row>
    <row r="707" spans="1:66">
      <c r="A707">
        <v>100879</v>
      </c>
      <c r="B707" t="s">
        <v>185</v>
      </c>
      <c r="C707" s="1">
        <v>43300101</v>
      </c>
      <c r="D707" t="s">
        <v>67</v>
      </c>
      <c r="H707" t="str">
        <f t="shared" si="88"/>
        <v>04720630633</v>
      </c>
      <c r="I707" t="str">
        <f t="shared" si="89"/>
        <v>01354901215</v>
      </c>
      <c r="K707" t="str">
        <f>""</f>
        <v/>
      </c>
      <c r="M707" t="s">
        <v>68</v>
      </c>
      <c r="N707" t="str">
        <f t="shared" si="90"/>
        <v>FOR</v>
      </c>
      <c r="O707" t="s">
        <v>69</v>
      </c>
      <c r="P707" t="s">
        <v>75</v>
      </c>
      <c r="Q707">
        <v>2016</v>
      </c>
      <c r="R707" s="4">
        <v>42664</v>
      </c>
      <c r="S707" s="2">
        <v>42676</v>
      </c>
      <c r="T707" s="2">
        <v>42670</v>
      </c>
      <c r="U707" s="4">
        <v>42730</v>
      </c>
      <c r="V707" t="s">
        <v>71</v>
      </c>
      <c r="W707" t="str">
        <f>"             10671/W"</f>
        <v xml:space="preserve">             10671/W</v>
      </c>
      <c r="X707" s="1">
        <v>1054.08</v>
      </c>
      <c r="Y707">
        <v>0</v>
      </c>
      <c r="Z707" s="5">
        <v>864</v>
      </c>
      <c r="AA707" s="3">
        <v>38</v>
      </c>
      <c r="AB707" s="5">
        <v>32832</v>
      </c>
      <c r="AC707">
        <v>864</v>
      </c>
      <c r="AD707">
        <v>38</v>
      </c>
      <c r="AE707" s="1">
        <v>32832</v>
      </c>
      <c r="AF707">
        <v>0</v>
      </c>
      <c r="AJ707">
        <v>0</v>
      </c>
      <c r="AK707">
        <v>0</v>
      </c>
      <c r="AL707">
        <v>0</v>
      </c>
      <c r="AM707">
        <v>0</v>
      </c>
      <c r="AN707">
        <v>0</v>
      </c>
      <c r="AO707">
        <v>0</v>
      </c>
      <c r="AP707" s="2">
        <v>42831</v>
      </c>
      <c r="AQ707" t="s">
        <v>72</v>
      </c>
      <c r="AR707" t="s">
        <v>72</v>
      </c>
      <c r="AS707">
        <v>268</v>
      </c>
      <c r="AT707" s="4">
        <v>42768</v>
      </c>
      <c r="AU707" t="s">
        <v>73</v>
      </c>
      <c r="AV707">
        <v>268</v>
      </c>
      <c r="AW707" s="4">
        <v>42768</v>
      </c>
      <c r="BD707">
        <v>0</v>
      </c>
      <c r="BN707" t="s">
        <v>74</v>
      </c>
    </row>
    <row r="708" spans="1:66">
      <c r="A708">
        <v>100879</v>
      </c>
      <c r="B708" t="s">
        <v>185</v>
      </c>
      <c r="C708" s="1">
        <v>43300101</v>
      </c>
      <c r="D708" t="s">
        <v>67</v>
      </c>
      <c r="H708" t="str">
        <f t="shared" si="88"/>
        <v>04720630633</v>
      </c>
      <c r="I708" t="str">
        <f t="shared" si="89"/>
        <v>01354901215</v>
      </c>
      <c r="K708" t="str">
        <f>""</f>
        <v/>
      </c>
      <c r="M708" t="s">
        <v>68</v>
      </c>
      <c r="N708" t="str">
        <f t="shared" si="90"/>
        <v>FOR</v>
      </c>
      <c r="O708" t="s">
        <v>69</v>
      </c>
      <c r="P708" t="s">
        <v>75</v>
      </c>
      <c r="Q708">
        <v>2016</v>
      </c>
      <c r="R708" s="4">
        <v>42681</v>
      </c>
      <c r="S708" s="2">
        <v>42682</v>
      </c>
      <c r="T708" s="2">
        <v>42681</v>
      </c>
      <c r="U708" s="4">
        <v>42741</v>
      </c>
      <c r="V708" t="s">
        <v>71</v>
      </c>
      <c r="W708" t="str">
        <f>"             11093/W"</f>
        <v xml:space="preserve">             11093/W</v>
      </c>
      <c r="X708" s="1">
        <v>1666.52</v>
      </c>
      <c r="Y708">
        <v>0</v>
      </c>
      <c r="Z708" s="5">
        <v>1366</v>
      </c>
      <c r="AA708" s="3">
        <v>33</v>
      </c>
      <c r="AB708" s="5">
        <v>45078</v>
      </c>
      <c r="AC708" s="1">
        <v>1366</v>
      </c>
      <c r="AD708">
        <v>33</v>
      </c>
      <c r="AE708" s="1">
        <v>45078</v>
      </c>
      <c r="AF708">
        <v>0</v>
      </c>
      <c r="AJ708">
        <v>0</v>
      </c>
      <c r="AK708">
        <v>0</v>
      </c>
      <c r="AL708">
        <v>0</v>
      </c>
      <c r="AM708">
        <v>0</v>
      </c>
      <c r="AN708">
        <v>0</v>
      </c>
      <c r="AO708">
        <v>0</v>
      </c>
      <c r="AP708" s="2">
        <v>42831</v>
      </c>
      <c r="AQ708" t="s">
        <v>72</v>
      </c>
      <c r="AR708" t="s">
        <v>72</v>
      </c>
      <c r="AS708">
        <v>317</v>
      </c>
      <c r="AT708" s="4">
        <v>42774</v>
      </c>
      <c r="AU708" t="s">
        <v>73</v>
      </c>
      <c r="AV708">
        <v>317</v>
      </c>
      <c r="AW708" s="4">
        <v>42774</v>
      </c>
      <c r="BD708">
        <v>0</v>
      </c>
      <c r="BN708" t="s">
        <v>74</v>
      </c>
    </row>
    <row r="709" spans="1:66">
      <c r="A709">
        <v>100879</v>
      </c>
      <c r="B709" t="s">
        <v>185</v>
      </c>
      <c r="C709" s="1">
        <v>43300101</v>
      </c>
      <c r="D709" t="s">
        <v>67</v>
      </c>
      <c r="H709" t="str">
        <f t="shared" si="88"/>
        <v>04720630633</v>
      </c>
      <c r="I709" t="str">
        <f t="shared" si="89"/>
        <v>01354901215</v>
      </c>
      <c r="K709" t="str">
        <f>""</f>
        <v/>
      </c>
      <c r="M709" t="s">
        <v>68</v>
      </c>
      <c r="N709" t="str">
        <f t="shared" si="90"/>
        <v>FOR</v>
      </c>
      <c r="O709" t="s">
        <v>69</v>
      </c>
      <c r="P709" t="s">
        <v>75</v>
      </c>
      <c r="Q709">
        <v>2016</v>
      </c>
      <c r="R709" s="4">
        <v>42681</v>
      </c>
      <c r="S709" s="2">
        <v>42682</v>
      </c>
      <c r="T709" s="2">
        <v>42681</v>
      </c>
      <c r="U709" s="4">
        <v>42741</v>
      </c>
      <c r="V709" t="s">
        <v>71</v>
      </c>
      <c r="W709" t="str">
        <f>"             11094/W"</f>
        <v xml:space="preserve">             11094/W</v>
      </c>
      <c r="X709">
        <v>213.5</v>
      </c>
      <c r="Y709">
        <v>0</v>
      </c>
      <c r="Z709" s="5">
        <v>175</v>
      </c>
      <c r="AA709" s="3">
        <v>33</v>
      </c>
      <c r="AB709" s="5">
        <v>5775</v>
      </c>
      <c r="AC709">
        <v>175</v>
      </c>
      <c r="AD709">
        <v>33</v>
      </c>
      <c r="AE709" s="1">
        <v>5775</v>
      </c>
      <c r="AF709">
        <v>0</v>
      </c>
      <c r="AJ709">
        <v>0</v>
      </c>
      <c r="AK709">
        <v>0</v>
      </c>
      <c r="AL709">
        <v>0</v>
      </c>
      <c r="AM709">
        <v>0</v>
      </c>
      <c r="AN709">
        <v>0</v>
      </c>
      <c r="AO709">
        <v>0</v>
      </c>
      <c r="AP709" s="2">
        <v>42831</v>
      </c>
      <c r="AQ709" t="s">
        <v>72</v>
      </c>
      <c r="AR709" t="s">
        <v>72</v>
      </c>
      <c r="AS709">
        <v>317</v>
      </c>
      <c r="AT709" s="4">
        <v>42774</v>
      </c>
      <c r="AU709" t="s">
        <v>73</v>
      </c>
      <c r="AV709">
        <v>317</v>
      </c>
      <c r="AW709" s="4">
        <v>42774</v>
      </c>
      <c r="BD709">
        <v>0</v>
      </c>
      <c r="BN709" t="s">
        <v>74</v>
      </c>
    </row>
    <row r="710" spans="1:66">
      <c r="A710">
        <v>100879</v>
      </c>
      <c r="B710" t="s">
        <v>185</v>
      </c>
      <c r="C710" s="1">
        <v>43300101</v>
      </c>
      <c r="D710" t="s">
        <v>67</v>
      </c>
      <c r="H710" t="str">
        <f t="shared" si="88"/>
        <v>04720630633</v>
      </c>
      <c r="I710" t="str">
        <f t="shared" si="89"/>
        <v>01354901215</v>
      </c>
      <c r="K710" t="str">
        <f>""</f>
        <v/>
      </c>
      <c r="M710" t="s">
        <v>68</v>
      </c>
      <c r="N710" t="str">
        <f t="shared" si="90"/>
        <v>FOR</v>
      </c>
      <c r="O710" t="s">
        <v>69</v>
      </c>
      <c r="P710" t="s">
        <v>75</v>
      </c>
      <c r="Q710">
        <v>2016</v>
      </c>
      <c r="R710" s="4">
        <v>42685</v>
      </c>
      <c r="S710" s="2">
        <v>42690</v>
      </c>
      <c r="T710" s="2">
        <v>42689</v>
      </c>
      <c r="U710" s="4">
        <v>42749</v>
      </c>
      <c r="V710" t="s">
        <v>71</v>
      </c>
      <c r="W710" t="str">
        <f>"             11283/W"</f>
        <v xml:space="preserve">             11283/W</v>
      </c>
      <c r="X710">
        <v>724.68</v>
      </c>
      <c r="Y710">
        <v>0</v>
      </c>
      <c r="Z710" s="5">
        <v>594</v>
      </c>
      <c r="AA710" s="3">
        <v>25</v>
      </c>
      <c r="AB710" s="5">
        <v>14850</v>
      </c>
      <c r="AC710">
        <v>594</v>
      </c>
      <c r="AD710">
        <v>25</v>
      </c>
      <c r="AE710" s="1">
        <v>14850</v>
      </c>
      <c r="AF710">
        <v>0</v>
      </c>
      <c r="AJ710">
        <v>0</v>
      </c>
      <c r="AK710">
        <v>0</v>
      </c>
      <c r="AL710">
        <v>0</v>
      </c>
      <c r="AM710">
        <v>0</v>
      </c>
      <c r="AN710">
        <v>0</v>
      </c>
      <c r="AO710">
        <v>0</v>
      </c>
      <c r="AP710" s="2">
        <v>42831</v>
      </c>
      <c r="AQ710" t="s">
        <v>72</v>
      </c>
      <c r="AR710" t="s">
        <v>72</v>
      </c>
      <c r="AS710">
        <v>317</v>
      </c>
      <c r="AT710" s="4">
        <v>42774</v>
      </c>
      <c r="AU710" t="s">
        <v>73</v>
      </c>
      <c r="AV710">
        <v>317</v>
      </c>
      <c r="AW710" s="4">
        <v>42774</v>
      </c>
      <c r="BD710">
        <v>0</v>
      </c>
      <c r="BN710" t="s">
        <v>74</v>
      </c>
    </row>
    <row r="711" spans="1:66">
      <c r="A711">
        <v>100879</v>
      </c>
      <c r="B711" t="s">
        <v>185</v>
      </c>
      <c r="C711" s="1">
        <v>43300101</v>
      </c>
      <c r="D711" t="s">
        <v>67</v>
      </c>
      <c r="H711" t="str">
        <f t="shared" si="88"/>
        <v>04720630633</v>
      </c>
      <c r="I711" t="str">
        <f t="shared" si="89"/>
        <v>01354901215</v>
      </c>
      <c r="K711" t="str">
        <f>""</f>
        <v/>
      </c>
      <c r="M711" t="s">
        <v>68</v>
      </c>
      <c r="N711" t="str">
        <f t="shared" si="90"/>
        <v>FOR</v>
      </c>
      <c r="O711" t="s">
        <v>69</v>
      </c>
      <c r="P711" t="s">
        <v>75</v>
      </c>
      <c r="Q711">
        <v>2016</v>
      </c>
      <c r="R711" s="4">
        <v>42685</v>
      </c>
      <c r="S711" s="2">
        <v>42690</v>
      </c>
      <c r="T711" s="2">
        <v>42689</v>
      </c>
      <c r="U711" s="4">
        <v>42749</v>
      </c>
      <c r="V711" t="s">
        <v>71</v>
      </c>
      <c r="W711" t="str">
        <f>"             11284/W"</f>
        <v xml:space="preserve">             11284/W</v>
      </c>
      <c r="X711" s="1">
        <v>3611.2</v>
      </c>
      <c r="Y711">
        <v>0</v>
      </c>
      <c r="Z711" s="5">
        <v>2960</v>
      </c>
      <c r="AA711" s="3">
        <v>25</v>
      </c>
      <c r="AB711" s="5">
        <v>74000</v>
      </c>
      <c r="AC711" s="1">
        <v>2960</v>
      </c>
      <c r="AD711">
        <v>25</v>
      </c>
      <c r="AE711" s="1">
        <v>74000</v>
      </c>
      <c r="AF711">
        <v>0</v>
      </c>
      <c r="AJ711">
        <v>0</v>
      </c>
      <c r="AK711">
        <v>0</v>
      </c>
      <c r="AL711">
        <v>0</v>
      </c>
      <c r="AM711">
        <v>0</v>
      </c>
      <c r="AN711">
        <v>0</v>
      </c>
      <c r="AO711">
        <v>0</v>
      </c>
      <c r="AP711" s="2">
        <v>42831</v>
      </c>
      <c r="AQ711" t="s">
        <v>72</v>
      </c>
      <c r="AR711" t="s">
        <v>72</v>
      </c>
      <c r="AS711">
        <v>317</v>
      </c>
      <c r="AT711" s="4">
        <v>42774</v>
      </c>
      <c r="AU711" t="s">
        <v>73</v>
      </c>
      <c r="AV711">
        <v>317</v>
      </c>
      <c r="AW711" s="4">
        <v>42774</v>
      </c>
      <c r="BD711">
        <v>0</v>
      </c>
      <c r="BN711" t="s">
        <v>74</v>
      </c>
    </row>
    <row r="712" spans="1:66">
      <c r="A712">
        <v>100879</v>
      </c>
      <c r="B712" t="s">
        <v>185</v>
      </c>
      <c r="C712" s="1">
        <v>43300101</v>
      </c>
      <c r="D712" t="s">
        <v>67</v>
      </c>
      <c r="H712" t="str">
        <f t="shared" si="88"/>
        <v>04720630633</v>
      </c>
      <c r="I712" t="str">
        <f t="shared" si="89"/>
        <v>01354901215</v>
      </c>
      <c r="K712" t="str">
        <f>""</f>
        <v/>
      </c>
      <c r="M712" t="s">
        <v>68</v>
      </c>
      <c r="N712" t="str">
        <f t="shared" si="90"/>
        <v>FOR</v>
      </c>
      <c r="O712" t="s">
        <v>69</v>
      </c>
      <c r="P712" t="s">
        <v>75</v>
      </c>
      <c r="Q712">
        <v>2016</v>
      </c>
      <c r="R712" s="4">
        <v>42685</v>
      </c>
      <c r="S712" s="2">
        <v>42690</v>
      </c>
      <c r="T712" s="2">
        <v>42689</v>
      </c>
      <c r="U712" s="4">
        <v>42749</v>
      </c>
      <c r="V712" t="s">
        <v>71</v>
      </c>
      <c r="W712" t="str">
        <f>"             11285/W"</f>
        <v xml:space="preserve">             11285/W</v>
      </c>
      <c r="X712">
        <v>616.1</v>
      </c>
      <c r="Y712">
        <v>0</v>
      </c>
      <c r="Z712" s="5">
        <v>505</v>
      </c>
      <c r="AA712" s="3">
        <v>25</v>
      </c>
      <c r="AB712" s="5">
        <v>12625</v>
      </c>
      <c r="AC712">
        <v>505</v>
      </c>
      <c r="AD712">
        <v>25</v>
      </c>
      <c r="AE712" s="1">
        <v>12625</v>
      </c>
      <c r="AF712">
        <v>0</v>
      </c>
      <c r="AJ712">
        <v>0</v>
      </c>
      <c r="AK712">
        <v>0</v>
      </c>
      <c r="AL712">
        <v>0</v>
      </c>
      <c r="AM712">
        <v>0</v>
      </c>
      <c r="AN712">
        <v>0</v>
      </c>
      <c r="AO712">
        <v>0</v>
      </c>
      <c r="AP712" s="2">
        <v>42831</v>
      </c>
      <c r="AQ712" t="s">
        <v>72</v>
      </c>
      <c r="AR712" t="s">
        <v>72</v>
      </c>
      <c r="AS712">
        <v>317</v>
      </c>
      <c r="AT712" s="4">
        <v>42774</v>
      </c>
      <c r="AU712" t="s">
        <v>73</v>
      </c>
      <c r="AV712">
        <v>317</v>
      </c>
      <c r="AW712" s="4">
        <v>42774</v>
      </c>
      <c r="BD712">
        <v>0</v>
      </c>
      <c r="BN712" t="s">
        <v>74</v>
      </c>
    </row>
    <row r="713" spans="1:66">
      <c r="A713">
        <v>100879</v>
      </c>
      <c r="B713" t="s">
        <v>185</v>
      </c>
      <c r="C713" s="1">
        <v>43300101</v>
      </c>
      <c r="D713" t="s">
        <v>67</v>
      </c>
      <c r="H713" t="str">
        <f t="shared" si="88"/>
        <v>04720630633</v>
      </c>
      <c r="I713" t="str">
        <f t="shared" si="89"/>
        <v>01354901215</v>
      </c>
      <c r="K713" t="str">
        <f>""</f>
        <v/>
      </c>
      <c r="M713" t="s">
        <v>68</v>
      </c>
      <c r="N713" t="str">
        <f t="shared" si="90"/>
        <v>FOR</v>
      </c>
      <c r="O713" t="s">
        <v>69</v>
      </c>
      <c r="P713" t="s">
        <v>75</v>
      </c>
      <c r="Q713">
        <v>2016</v>
      </c>
      <c r="R713" s="4">
        <v>42685</v>
      </c>
      <c r="S713" s="2">
        <v>42690</v>
      </c>
      <c r="T713" s="2">
        <v>42689</v>
      </c>
      <c r="U713" s="4">
        <v>42749</v>
      </c>
      <c r="V713" t="s">
        <v>71</v>
      </c>
      <c r="W713" t="str">
        <f>"             11286/W"</f>
        <v xml:space="preserve">             11286/W</v>
      </c>
      <c r="X713">
        <v>202.52</v>
      </c>
      <c r="Y713">
        <v>0</v>
      </c>
      <c r="Z713" s="5">
        <v>166</v>
      </c>
      <c r="AA713" s="3">
        <v>25</v>
      </c>
      <c r="AB713" s="5">
        <v>4150</v>
      </c>
      <c r="AC713">
        <v>166</v>
      </c>
      <c r="AD713">
        <v>25</v>
      </c>
      <c r="AE713" s="1">
        <v>4150</v>
      </c>
      <c r="AF713">
        <v>0</v>
      </c>
      <c r="AJ713">
        <v>0</v>
      </c>
      <c r="AK713">
        <v>0</v>
      </c>
      <c r="AL713">
        <v>0</v>
      </c>
      <c r="AM713">
        <v>0</v>
      </c>
      <c r="AN713">
        <v>0</v>
      </c>
      <c r="AO713">
        <v>0</v>
      </c>
      <c r="AP713" s="2">
        <v>42831</v>
      </c>
      <c r="AQ713" t="s">
        <v>72</v>
      </c>
      <c r="AR713" t="s">
        <v>72</v>
      </c>
      <c r="AS713">
        <v>317</v>
      </c>
      <c r="AT713" s="4">
        <v>42774</v>
      </c>
      <c r="AU713" t="s">
        <v>73</v>
      </c>
      <c r="AV713">
        <v>317</v>
      </c>
      <c r="AW713" s="4">
        <v>42774</v>
      </c>
      <c r="BD713">
        <v>0</v>
      </c>
      <c r="BN713" t="s">
        <v>74</v>
      </c>
    </row>
    <row r="714" spans="1:66">
      <c r="A714">
        <v>100879</v>
      </c>
      <c r="B714" t="s">
        <v>185</v>
      </c>
      <c r="C714" s="1">
        <v>43300101</v>
      </c>
      <c r="D714" t="s">
        <v>67</v>
      </c>
      <c r="H714" t="str">
        <f t="shared" si="88"/>
        <v>04720630633</v>
      </c>
      <c r="I714" t="str">
        <f t="shared" si="89"/>
        <v>01354901215</v>
      </c>
      <c r="K714" t="str">
        <f>""</f>
        <v/>
      </c>
      <c r="M714" t="s">
        <v>68</v>
      </c>
      <c r="N714" t="str">
        <f t="shared" si="90"/>
        <v>FOR</v>
      </c>
      <c r="O714" t="s">
        <v>69</v>
      </c>
      <c r="P714" t="s">
        <v>75</v>
      </c>
      <c r="Q714">
        <v>2016</v>
      </c>
      <c r="R714" s="4">
        <v>42698</v>
      </c>
      <c r="S714" s="2">
        <v>42704</v>
      </c>
      <c r="T714" s="2">
        <v>42699</v>
      </c>
      <c r="U714" s="4">
        <v>42759</v>
      </c>
      <c r="V714" t="s">
        <v>71</v>
      </c>
      <c r="W714" t="str">
        <f>"             11787/W"</f>
        <v xml:space="preserve">             11787/W</v>
      </c>
      <c r="X714">
        <v>763.96</v>
      </c>
      <c r="Y714">
        <v>0</v>
      </c>
      <c r="Z714" s="5">
        <v>626.20000000000005</v>
      </c>
      <c r="AA714" s="3">
        <v>15</v>
      </c>
      <c r="AB714" s="5">
        <v>9393</v>
      </c>
      <c r="AC714">
        <v>626.20000000000005</v>
      </c>
      <c r="AD714">
        <v>15</v>
      </c>
      <c r="AE714" s="1">
        <v>9393</v>
      </c>
      <c r="AF714">
        <v>0</v>
      </c>
      <c r="AJ714">
        <v>0</v>
      </c>
      <c r="AK714">
        <v>0</v>
      </c>
      <c r="AL714">
        <v>0</v>
      </c>
      <c r="AM714">
        <v>0</v>
      </c>
      <c r="AN714">
        <v>0</v>
      </c>
      <c r="AO714">
        <v>0</v>
      </c>
      <c r="AP714" s="2">
        <v>42831</v>
      </c>
      <c r="AQ714" t="s">
        <v>72</v>
      </c>
      <c r="AR714" t="s">
        <v>72</v>
      </c>
      <c r="AS714">
        <v>317</v>
      </c>
      <c r="AT714" s="4">
        <v>42774</v>
      </c>
      <c r="AU714" t="s">
        <v>73</v>
      </c>
      <c r="AV714">
        <v>317</v>
      </c>
      <c r="AW714" s="4">
        <v>42774</v>
      </c>
      <c r="BD714">
        <v>0</v>
      </c>
      <c r="BN714" t="s">
        <v>74</v>
      </c>
    </row>
    <row r="715" spans="1:66">
      <c r="A715">
        <v>100879</v>
      </c>
      <c r="B715" t="s">
        <v>185</v>
      </c>
      <c r="C715" s="1">
        <v>43300101</v>
      </c>
      <c r="D715" t="s">
        <v>67</v>
      </c>
      <c r="H715" t="str">
        <f t="shared" si="88"/>
        <v>04720630633</v>
      </c>
      <c r="I715" t="str">
        <f t="shared" si="89"/>
        <v>01354901215</v>
      </c>
      <c r="K715" t="str">
        <f>""</f>
        <v/>
      </c>
      <c r="M715" t="s">
        <v>68</v>
      </c>
      <c r="N715" t="str">
        <f t="shared" si="90"/>
        <v>FOR</v>
      </c>
      <c r="O715" t="s">
        <v>69</v>
      </c>
      <c r="P715" t="s">
        <v>75</v>
      </c>
      <c r="Q715">
        <v>2016</v>
      </c>
      <c r="R715" s="4">
        <v>42698</v>
      </c>
      <c r="S715" s="2">
        <v>42704</v>
      </c>
      <c r="T715" s="2">
        <v>42699</v>
      </c>
      <c r="U715" s="4">
        <v>42759</v>
      </c>
      <c r="V715" t="s">
        <v>71</v>
      </c>
      <c r="W715" t="str">
        <f>"             11788/W"</f>
        <v xml:space="preserve">             11788/W</v>
      </c>
      <c r="X715">
        <v>714.68</v>
      </c>
      <c r="Y715">
        <v>0</v>
      </c>
      <c r="Z715" s="5">
        <v>585.79999999999995</v>
      </c>
      <c r="AA715" s="3">
        <v>15</v>
      </c>
      <c r="AB715" s="5">
        <v>8787</v>
      </c>
      <c r="AC715">
        <v>585.79999999999995</v>
      </c>
      <c r="AD715">
        <v>15</v>
      </c>
      <c r="AE715" s="1">
        <v>8787</v>
      </c>
      <c r="AF715">
        <v>0</v>
      </c>
      <c r="AJ715">
        <v>0</v>
      </c>
      <c r="AK715">
        <v>0</v>
      </c>
      <c r="AL715">
        <v>0</v>
      </c>
      <c r="AM715">
        <v>0</v>
      </c>
      <c r="AN715">
        <v>0</v>
      </c>
      <c r="AO715">
        <v>0</v>
      </c>
      <c r="AP715" s="2">
        <v>42831</v>
      </c>
      <c r="AQ715" t="s">
        <v>72</v>
      </c>
      <c r="AR715" t="s">
        <v>72</v>
      </c>
      <c r="AS715">
        <v>317</v>
      </c>
      <c r="AT715" s="4">
        <v>42774</v>
      </c>
      <c r="AU715" t="s">
        <v>73</v>
      </c>
      <c r="AV715">
        <v>317</v>
      </c>
      <c r="AW715" s="4">
        <v>42774</v>
      </c>
      <c r="BD715">
        <v>0</v>
      </c>
      <c r="BN715" t="s">
        <v>74</v>
      </c>
    </row>
    <row r="716" spans="1:66">
      <c r="A716">
        <v>100879</v>
      </c>
      <c r="B716" t="s">
        <v>185</v>
      </c>
      <c r="C716" s="1">
        <v>43300101</v>
      </c>
      <c r="D716" t="s">
        <v>67</v>
      </c>
      <c r="H716" t="str">
        <f t="shared" si="88"/>
        <v>04720630633</v>
      </c>
      <c r="I716" t="str">
        <f t="shared" si="89"/>
        <v>01354901215</v>
      </c>
      <c r="K716" t="str">
        <f>""</f>
        <v/>
      </c>
      <c r="M716" t="s">
        <v>68</v>
      </c>
      <c r="N716" t="str">
        <f t="shared" si="90"/>
        <v>FOR</v>
      </c>
      <c r="O716" t="s">
        <v>69</v>
      </c>
      <c r="P716" t="s">
        <v>75</v>
      </c>
      <c r="Q716">
        <v>2016</v>
      </c>
      <c r="R716" s="4">
        <v>42698</v>
      </c>
      <c r="S716" s="2">
        <v>42704</v>
      </c>
      <c r="T716" s="2">
        <v>42699</v>
      </c>
      <c r="U716" s="4">
        <v>42759</v>
      </c>
      <c r="V716" t="s">
        <v>71</v>
      </c>
      <c r="W716" t="str">
        <f>"             11789/W"</f>
        <v xml:space="preserve">             11789/W</v>
      </c>
      <c r="X716">
        <v>873.52</v>
      </c>
      <c r="Y716">
        <v>0</v>
      </c>
      <c r="Z716" s="5">
        <v>716</v>
      </c>
      <c r="AA716" s="3">
        <v>15</v>
      </c>
      <c r="AB716" s="5">
        <v>10740</v>
      </c>
      <c r="AC716">
        <v>716</v>
      </c>
      <c r="AD716">
        <v>15</v>
      </c>
      <c r="AE716" s="1">
        <v>10740</v>
      </c>
      <c r="AF716">
        <v>0</v>
      </c>
      <c r="AJ716">
        <v>0</v>
      </c>
      <c r="AK716">
        <v>0</v>
      </c>
      <c r="AL716">
        <v>0</v>
      </c>
      <c r="AM716">
        <v>0</v>
      </c>
      <c r="AN716">
        <v>0</v>
      </c>
      <c r="AO716">
        <v>0</v>
      </c>
      <c r="AP716" s="2">
        <v>42831</v>
      </c>
      <c r="AQ716" t="s">
        <v>72</v>
      </c>
      <c r="AR716" t="s">
        <v>72</v>
      </c>
      <c r="AS716">
        <v>317</v>
      </c>
      <c r="AT716" s="4">
        <v>42774</v>
      </c>
      <c r="AU716" t="s">
        <v>73</v>
      </c>
      <c r="AV716">
        <v>317</v>
      </c>
      <c r="AW716" s="4">
        <v>42774</v>
      </c>
      <c r="BD716">
        <v>0</v>
      </c>
      <c r="BN716" t="s">
        <v>74</v>
      </c>
    </row>
    <row r="717" spans="1:66">
      <c r="A717">
        <v>100879</v>
      </c>
      <c r="B717" t="s">
        <v>185</v>
      </c>
      <c r="C717" s="1">
        <v>43300101</v>
      </c>
      <c r="D717" t="s">
        <v>67</v>
      </c>
      <c r="H717" t="str">
        <f t="shared" si="88"/>
        <v>04720630633</v>
      </c>
      <c r="I717" t="str">
        <f t="shared" si="89"/>
        <v>01354901215</v>
      </c>
      <c r="K717" t="str">
        <f>""</f>
        <v/>
      </c>
      <c r="M717" t="s">
        <v>68</v>
      </c>
      <c r="N717" t="str">
        <f t="shared" si="90"/>
        <v>FOR</v>
      </c>
      <c r="O717" t="s">
        <v>69</v>
      </c>
      <c r="P717" t="s">
        <v>75</v>
      </c>
      <c r="Q717">
        <v>2016</v>
      </c>
      <c r="R717" s="4">
        <v>42698</v>
      </c>
      <c r="S717" s="2">
        <v>42704</v>
      </c>
      <c r="T717" s="2">
        <v>42699</v>
      </c>
      <c r="U717" s="4">
        <v>42759</v>
      </c>
      <c r="V717" t="s">
        <v>71</v>
      </c>
      <c r="W717" t="str">
        <f>"             11790/W"</f>
        <v xml:space="preserve">             11790/W</v>
      </c>
      <c r="X717">
        <v>218.38</v>
      </c>
      <c r="Y717">
        <v>0</v>
      </c>
      <c r="Z717" s="5">
        <v>179</v>
      </c>
      <c r="AA717" s="3">
        <v>15</v>
      </c>
      <c r="AB717" s="5">
        <v>2685</v>
      </c>
      <c r="AC717">
        <v>179</v>
      </c>
      <c r="AD717">
        <v>15</v>
      </c>
      <c r="AE717" s="1">
        <v>2685</v>
      </c>
      <c r="AF717">
        <v>0</v>
      </c>
      <c r="AJ717">
        <v>0</v>
      </c>
      <c r="AK717">
        <v>0</v>
      </c>
      <c r="AL717">
        <v>0</v>
      </c>
      <c r="AM717">
        <v>0</v>
      </c>
      <c r="AN717">
        <v>0</v>
      </c>
      <c r="AO717">
        <v>0</v>
      </c>
      <c r="AP717" s="2">
        <v>42831</v>
      </c>
      <c r="AQ717" t="s">
        <v>72</v>
      </c>
      <c r="AR717" t="s">
        <v>72</v>
      </c>
      <c r="AS717">
        <v>317</v>
      </c>
      <c r="AT717" s="4">
        <v>42774</v>
      </c>
      <c r="AU717" t="s">
        <v>73</v>
      </c>
      <c r="AV717">
        <v>317</v>
      </c>
      <c r="AW717" s="4">
        <v>42774</v>
      </c>
      <c r="BD717">
        <v>0</v>
      </c>
      <c r="BN717" t="s">
        <v>74</v>
      </c>
    </row>
    <row r="718" spans="1:66">
      <c r="A718">
        <v>100879</v>
      </c>
      <c r="B718" t="s">
        <v>185</v>
      </c>
      <c r="C718" s="1">
        <v>43300101</v>
      </c>
      <c r="D718" t="s">
        <v>67</v>
      </c>
      <c r="H718" t="str">
        <f t="shared" si="88"/>
        <v>04720630633</v>
      </c>
      <c r="I718" t="str">
        <f t="shared" si="89"/>
        <v>01354901215</v>
      </c>
      <c r="K718" t="str">
        <f>""</f>
        <v/>
      </c>
      <c r="M718" t="s">
        <v>68</v>
      </c>
      <c r="N718" t="str">
        <f t="shared" si="90"/>
        <v>FOR</v>
      </c>
      <c r="O718" t="s">
        <v>69</v>
      </c>
      <c r="P718" t="s">
        <v>75</v>
      </c>
      <c r="Q718">
        <v>2016</v>
      </c>
      <c r="R718" s="4">
        <v>42698</v>
      </c>
      <c r="S718" s="2">
        <v>42704</v>
      </c>
      <c r="T718" s="2">
        <v>42699</v>
      </c>
      <c r="U718" s="4">
        <v>42759</v>
      </c>
      <c r="V718" t="s">
        <v>71</v>
      </c>
      <c r="W718" t="str">
        <f>"             11791/W"</f>
        <v xml:space="preserve">             11791/W</v>
      </c>
      <c r="X718">
        <v>462</v>
      </c>
      <c r="Y718">
        <v>0</v>
      </c>
      <c r="Z718" s="5">
        <v>420</v>
      </c>
      <c r="AA718" s="3">
        <v>15</v>
      </c>
      <c r="AB718" s="5">
        <v>6300</v>
      </c>
      <c r="AC718">
        <v>420</v>
      </c>
      <c r="AD718">
        <v>15</v>
      </c>
      <c r="AE718" s="1">
        <v>6300</v>
      </c>
      <c r="AF718">
        <v>0</v>
      </c>
      <c r="AJ718">
        <v>0</v>
      </c>
      <c r="AK718">
        <v>0</v>
      </c>
      <c r="AL718">
        <v>0</v>
      </c>
      <c r="AM718">
        <v>0</v>
      </c>
      <c r="AN718">
        <v>0</v>
      </c>
      <c r="AO718">
        <v>0</v>
      </c>
      <c r="AP718" s="2">
        <v>42831</v>
      </c>
      <c r="AQ718" t="s">
        <v>72</v>
      </c>
      <c r="AR718" t="s">
        <v>72</v>
      </c>
      <c r="AS718">
        <v>317</v>
      </c>
      <c r="AT718" s="4">
        <v>42774</v>
      </c>
      <c r="AU718" t="s">
        <v>73</v>
      </c>
      <c r="AV718">
        <v>317</v>
      </c>
      <c r="AW718" s="4">
        <v>42774</v>
      </c>
      <c r="BD718">
        <v>0</v>
      </c>
      <c r="BN718" t="s">
        <v>74</v>
      </c>
    </row>
    <row r="719" spans="1:66">
      <c r="A719">
        <v>100879</v>
      </c>
      <c r="B719" t="s">
        <v>185</v>
      </c>
      <c r="C719" s="1">
        <v>43300101</v>
      </c>
      <c r="D719" t="s">
        <v>67</v>
      </c>
      <c r="H719" t="str">
        <f t="shared" si="88"/>
        <v>04720630633</v>
      </c>
      <c r="I719" t="str">
        <f t="shared" si="89"/>
        <v>01354901215</v>
      </c>
      <c r="K719" t="str">
        <f>""</f>
        <v/>
      </c>
      <c r="M719" t="s">
        <v>68</v>
      </c>
      <c r="N719" t="str">
        <f t="shared" si="90"/>
        <v>FOR</v>
      </c>
      <c r="O719" t="s">
        <v>69</v>
      </c>
      <c r="P719" t="s">
        <v>75</v>
      </c>
      <c r="Q719">
        <v>2016</v>
      </c>
      <c r="R719" s="4">
        <v>42704</v>
      </c>
      <c r="S719" s="2">
        <v>42711</v>
      </c>
      <c r="T719" s="2">
        <v>42705</v>
      </c>
      <c r="U719" s="4">
        <v>42765</v>
      </c>
      <c r="V719" t="s">
        <v>71</v>
      </c>
      <c r="W719" t="str">
        <f>"             12014/W"</f>
        <v xml:space="preserve">             12014/W</v>
      </c>
      <c r="X719">
        <v>268.39999999999998</v>
      </c>
      <c r="Y719">
        <v>0</v>
      </c>
      <c r="Z719" s="5">
        <v>220</v>
      </c>
      <c r="AA719" s="3">
        <v>9</v>
      </c>
      <c r="AB719" s="5">
        <v>1980</v>
      </c>
      <c r="AC719">
        <v>220</v>
      </c>
      <c r="AD719">
        <v>9</v>
      </c>
      <c r="AE719" s="1">
        <v>1980</v>
      </c>
      <c r="AF719">
        <v>0</v>
      </c>
      <c r="AJ719">
        <v>0</v>
      </c>
      <c r="AK719">
        <v>0</v>
      </c>
      <c r="AL719">
        <v>0</v>
      </c>
      <c r="AM719">
        <v>0</v>
      </c>
      <c r="AN719">
        <v>0</v>
      </c>
      <c r="AO719">
        <v>0</v>
      </c>
      <c r="AP719" s="2">
        <v>42831</v>
      </c>
      <c r="AQ719" t="s">
        <v>72</v>
      </c>
      <c r="AR719" t="s">
        <v>72</v>
      </c>
      <c r="AS719">
        <v>317</v>
      </c>
      <c r="AT719" s="4">
        <v>42774</v>
      </c>
      <c r="AU719" t="s">
        <v>73</v>
      </c>
      <c r="AV719">
        <v>317</v>
      </c>
      <c r="AW719" s="4">
        <v>42774</v>
      </c>
      <c r="BD719">
        <v>0</v>
      </c>
      <c r="BN719" t="s">
        <v>74</v>
      </c>
    </row>
    <row r="720" spans="1:66">
      <c r="A720">
        <v>100879</v>
      </c>
      <c r="B720" t="s">
        <v>185</v>
      </c>
      <c r="C720" s="1">
        <v>43300101</v>
      </c>
      <c r="D720" t="s">
        <v>67</v>
      </c>
      <c r="H720" t="str">
        <f t="shared" si="88"/>
        <v>04720630633</v>
      </c>
      <c r="I720" t="str">
        <f t="shared" si="89"/>
        <v>01354901215</v>
      </c>
      <c r="K720" t="str">
        <f>""</f>
        <v/>
      </c>
      <c r="M720" t="s">
        <v>68</v>
      </c>
      <c r="N720" t="str">
        <f t="shared" si="90"/>
        <v>FOR</v>
      </c>
      <c r="O720" t="s">
        <v>69</v>
      </c>
      <c r="P720" t="s">
        <v>75</v>
      </c>
      <c r="Q720">
        <v>2016</v>
      </c>
      <c r="R720" s="4">
        <v>42704</v>
      </c>
      <c r="S720" s="2">
        <v>42711</v>
      </c>
      <c r="T720" s="2">
        <v>42705</v>
      </c>
      <c r="U720" s="4">
        <v>42765</v>
      </c>
      <c r="V720" t="s">
        <v>71</v>
      </c>
      <c r="W720" t="str">
        <f>"             12015/W"</f>
        <v xml:space="preserve">             12015/W</v>
      </c>
      <c r="X720">
        <v>213.5</v>
      </c>
      <c r="Y720">
        <v>0</v>
      </c>
      <c r="Z720" s="5">
        <v>175</v>
      </c>
      <c r="AA720" s="3">
        <v>9</v>
      </c>
      <c r="AB720" s="5">
        <v>1575</v>
      </c>
      <c r="AC720">
        <v>175</v>
      </c>
      <c r="AD720">
        <v>9</v>
      </c>
      <c r="AE720" s="1">
        <v>1575</v>
      </c>
      <c r="AF720">
        <v>0</v>
      </c>
      <c r="AJ720">
        <v>0</v>
      </c>
      <c r="AK720">
        <v>0</v>
      </c>
      <c r="AL720">
        <v>0</v>
      </c>
      <c r="AM720">
        <v>0</v>
      </c>
      <c r="AN720">
        <v>0</v>
      </c>
      <c r="AO720">
        <v>0</v>
      </c>
      <c r="AP720" s="2">
        <v>42831</v>
      </c>
      <c r="AQ720" t="s">
        <v>72</v>
      </c>
      <c r="AR720" t="s">
        <v>72</v>
      </c>
      <c r="AS720">
        <v>317</v>
      </c>
      <c r="AT720" s="4">
        <v>42774</v>
      </c>
      <c r="AU720" t="s">
        <v>73</v>
      </c>
      <c r="AV720">
        <v>317</v>
      </c>
      <c r="AW720" s="4">
        <v>42774</v>
      </c>
      <c r="BD720">
        <v>0</v>
      </c>
      <c r="BN720" t="s">
        <v>74</v>
      </c>
    </row>
    <row r="721" spans="1:66">
      <c r="A721">
        <v>100879</v>
      </c>
      <c r="B721" t="s">
        <v>185</v>
      </c>
      <c r="C721" s="1">
        <v>43300101</v>
      </c>
      <c r="D721" t="s">
        <v>67</v>
      </c>
      <c r="H721" t="str">
        <f t="shared" si="88"/>
        <v>04720630633</v>
      </c>
      <c r="I721" t="str">
        <f t="shared" si="89"/>
        <v>01354901215</v>
      </c>
      <c r="K721" t="str">
        <f>""</f>
        <v/>
      </c>
      <c r="M721" t="s">
        <v>68</v>
      </c>
      <c r="N721" t="str">
        <f t="shared" si="90"/>
        <v>FOR</v>
      </c>
      <c r="O721" t="s">
        <v>69</v>
      </c>
      <c r="P721" t="s">
        <v>75</v>
      </c>
      <c r="Q721">
        <v>2016</v>
      </c>
      <c r="R721" s="4">
        <v>42706</v>
      </c>
      <c r="S721" s="2">
        <v>42711</v>
      </c>
      <c r="T721" s="2">
        <v>42709</v>
      </c>
      <c r="U721" s="4">
        <v>42769</v>
      </c>
      <c r="V721" t="s">
        <v>71</v>
      </c>
      <c r="W721" t="str">
        <f>"             12104/W"</f>
        <v xml:space="preserve">             12104/W</v>
      </c>
      <c r="X721">
        <v>361.12</v>
      </c>
      <c r="Y721">
        <v>0</v>
      </c>
      <c r="Z721" s="5">
        <v>296</v>
      </c>
      <c r="AA721" s="3">
        <v>5</v>
      </c>
      <c r="AB721" s="5">
        <v>1480</v>
      </c>
      <c r="AC721">
        <v>296</v>
      </c>
      <c r="AD721">
        <v>5</v>
      </c>
      <c r="AE721" s="1">
        <v>1480</v>
      </c>
      <c r="AF721">
        <v>0</v>
      </c>
      <c r="AJ721">
        <v>0</v>
      </c>
      <c r="AK721">
        <v>0</v>
      </c>
      <c r="AL721">
        <v>0</v>
      </c>
      <c r="AM721">
        <v>0</v>
      </c>
      <c r="AN721">
        <v>0</v>
      </c>
      <c r="AO721">
        <v>0</v>
      </c>
      <c r="AP721" s="2">
        <v>42831</v>
      </c>
      <c r="AQ721" t="s">
        <v>72</v>
      </c>
      <c r="AR721" t="s">
        <v>72</v>
      </c>
      <c r="AS721">
        <v>317</v>
      </c>
      <c r="AT721" s="4">
        <v>42774</v>
      </c>
      <c r="AU721" t="s">
        <v>73</v>
      </c>
      <c r="AV721">
        <v>317</v>
      </c>
      <c r="AW721" s="4">
        <v>42774</v>
      </c>
      <c r="BD721">
        <v>0</v>
      </c>
      <c r="BN721" t="s">
        <v>74</v>
      </c>
    </row>
    <row r="722" spans="1:66">
      <c r="A722">
        <v>100879</v>
      </c>
      <c r="B722" t="s">
        <v>185</v>
      </c>
      <c r="C722" s="1">
        <v>43300101</v>
      </c>
      <c r="D722" t="s">
        <v>67</v>
      </c>
      <c r="H722" t="str">
        <f t="shared" si="88"/>
        <v>04720630633</v>
      </c>
      <c r="I722" t="str">
        <f t="shared" si="89"/>
        <v>01354901215</v>
      </c>
      <c r="K722" t="str">
        <f>""</f>
        <v/>
      </c>
      <c r="M722" t="s">
        <v>68</v>
      </c>
      <c r="N722" t="str">
        <f t="shared" si="90"/>
        <v>FOR</v>
      </c>
      <c r="O722" t="s">
        <v>69</v>
      </c>
      <c r="P722" t="s">
        <v>75</v>
      </c>
      <c r="Q722">
        <v>2016</v>
      </c>
      <c r="R722" s="4">
        <v>42720</v>
      </c>
      <c r="S722" s="2">
        <v>42725</v>
      </c>
      <c r="T722" s="2">
        <v>42724</v>
      </c>
      <c r="U722" s="4">
        <v>42784</v>
      </c>
      <c r="V722" t="s">
        <v>71</v>
      </c>
      <c r="W722" t="str">
        <f>"             12526/W"</f>
        <v xml:space="preserve">             12526/W</v>
      </c>
      <c r="X722">
        <v>147.62</v>
      </c>
      <c r="Y722">
        <v>0</v>
      </c>
      <c r="Z722" s="5">
        <v>121</v>
      </c>
      <c r="AA722" s="3">
        <v>-10</v>
      </c>
      <c r="AB722" s="5">
        <v>-1210</v>
      </c>
      <c r="AC722">
        <v>121</v>
      </c>
      <c r="AD722">
        <v>-10</v>
      </c>
      <c r="AE722" s="1">
        <v>-1210</v>
      </c>
      <c r="AF722">
        <v>0</v>
      </c>
      <c r="AJ722">
        <v>0</v>
      </c>
      <c r="AK722">
        <v>0</v>
      </c>
      <c r="AL722">
        <v>0</v>
      </c>
      <c r="AM722">
        <v>0</v>
      </c>
      <c r="AN722">
        <v>0</v>
      </c>
      <c r="AO722">
        <v>0</v>
      </c>
      <c r="AP722" s="2">
        <v>42831</v>
      </c>
      <c r="AQ722" t="s">
        <v>72</v>
      </c>
      <c r="AR722" t="s">
        <v>72</v>
      </c>
      <c r="AS722">
        <v>317</v>
      </c>
      <c r="AT722" s="4">
        <v>42774</v>
      </c>
      <c r="AV722">
        <v>317</v>
      </c>
      <c r="AW722" s="4">
        <v>42774</v>
      </c>
      <c r="BD722">
        <v>0</v>
      </c>
      <c r="BN722" t="s">
        <v>74</v>
      </c>
    </row>
    <row r="723" spans="1:66">
      <c r="A723">
        <v>100879</v>
      </c>
      <c r="B723" t="s">
        <v>185</v>
      </c>
      <c r="C723" s="1">
        <v>43300101</v>
      </c>
      <c r="D723" t="s">
        <v>67</v>
      </c>
      <c r="H723" t="str">
        <f t="shared" si="88"/>
        <v>04720630633</v>
      </c>
      <c r="I723" t="str">
        <f t="shared" si="89"/>
        <v>01354901215</v>
      </c>
      <c r="K723" t="str">
        <f>""</f>
        <v/>
      </c>
      <c r="M723" t="s">
        <v>68</v>
      </c>
      <c r="N723" t="str">
        <f t="shared" si="90"/>
        <v>FOR</v>
      </c>
      <c r="O723" t="s">
        <v>69</v>
      </c>
      <c r="P723" t="s">
        <v>75</v>
      </c>
      <c r="Q723">
        <v>2016</v>
      </c>
      <c r="R723" s="4">
        <v>42720</v>
      </c>
      <c r="S723" s="2">
        <v>42725</v>
      </c>
      <c r="T723" s="2">
        <v>42724</v>
      </c>
      <c r="U723" s="4">
        <v>42784</v>
      </c>
      <c r="V723" t="s">
        <v>71</v>
      </c>
      <c r="W723" t="str">
        <f>"             12527/W"</f>
        <v xml:space="preserve">             12527/W</v>
      </c>
      <c r="X723">
        <v>536.79999999999995</v>
      </c>
      <c r="Y723">
        <v>0</v>
      </c>
      <c r="Z723" s="5">
        <v>440</v>
      </c>
      <c r="AA723" s="3">
        <v>-10</v>
      </c>
      <c r="AB723" s="5">
        <v>-4400</v>
      </c>
      <c r="AC723">
        <v>440</v>
      </c>
      <c r="AD723">
        <v>-10</v>
      </c>
      <c r="AE723" s="1">
        <v>-4400</v>
      </c>
      <c r="AF723">
        <v>0</v>
      </c>
      <c r="AJ723">
        <v>0</v>
      </c>
      <c r="AK723">
        <v>0</v>
      </c>
      <c r="AL723">
        <v>0</v>
      </c>
      <c r="AM723">
        <v>0</v>
      </c>
      <c r="AN723">
        <v>0</v>
      </c>
      <c r="AO723">
        <v>0</v>
      </c>
      <c r="AP723" s="2">
        <v>42831</v>
      </c>
      <c r="AQ723" t="s">
        <v>72</v>
      </c>
      <c r="AR723" t="s">
        <v>72</v>
      </c>
      <c r="AS723">
        <v>317</v>
      </c>
      <c r="AT723" s="4">
        <v>42774</v>
      </c>
      <c r="AV723">
        <v>317</v>
      </c>
      <c r="AW723" s="4">
        <v>42774</v>
      </c>
      <c r="BD723">
        <v>0</v>
      </c>
      <c r="BN723" t="s">
        <v>74</v>
      </c>
    </row>
    <row r="724" spans="1:66">
      <c r="A724">
        <v>100905</v>
      </c>
      <c r="B724" t="s">
        <v>186</v>
      </c>
      <c r="C724" s="1">
        <v>43300101</v>
      </c>
      <c r="D724" t="s">
        <v>67</v>
      </c>
      <c r="H724" t="str">
        <f t="shared" ref="H724:H729" si="91">"06614040159"</f>
        <v>06614040159</v>
      </c>
      <c r="I724" t="str">
        <f t="shared" ref="I724:I729" si="92">"09279340153"</f>
        <v>09279340153</v>
      </c>
      <c r="K724" t="str">
        <f>""</f>
        <v/>
      </c>
      <c r="M724" t="s">
        <v>68</v>
      </c>
      <c r="N724" t="str">
        <f t="shared" si="90"/>
        <v>FOR</v>
      </c>
      <c r="O724" t="s">
        <v>69</v>
      </c>
      <c r="P724" t="s">
        <v>75</v>
      </c>
      <c r="Q724">
        <v>2016</v>
      </c>
      <c r="R724" s="4">
        <v>42563</v>
      </c>
      <c r="S724" s="2">
        <v>42577</v>
      </c>
      <c r="T724" s="2">
        <v>42571</v>
      </c>
      <c r="U724" s="4">
        <v>42631</v>
      </c>
      <c r="V724" t="s">
        <v>71</v>
      </c>
      <c r="W724" t="str">
        <f>"            16104056"</f>
        <v xml:space="preserve">            16104056</v>
      </c>
      <c r="X724">
        <v>253.76</v>
      </c>
      <c r="Y724">
        <v>0</v>
      </c>
      <c r="Z724" s="5">
        <v>208</v>
      </c>
      <c r="AA724" s="3">
        <v>141</v>
      </c>
      <c r="AB724" s="5">
        <v>29328</v>
      </c>
      <c r="AC724">
        <v>208</v>
      </c>
      <c r="AD724">
        <v>141</v>
      </c>
      <c r="AE724" s="1">
        <v>29328</v>
      </c>
      <c r="AF724">
        <v>45.76</v>
      </c>
      <c r="AJ724">
        <v>0</v>
      </c>
      <c r="AK724">
        <v>0</v>
      </c>
      <c r="AL724">
        <v>0</v>
      </c>
      <c r="AM724">
        <v>0</v>
      </c>
      <c r="AN724">
        <v>0</v>
      </c>
      <c r="AO724">
        <v>0</v>
      </c>
      <c r="AP724" s="2">
        <v>42831</v>
      </c>
      <c r="AQ724" t="s">
        <v>72</v>
      </c>
      <c r="AR724" t="s">
        <v>72</v>
      </c>
      <c r="AS724">
        <v>292</v>
      </c>
      <c r="AT724" s="4">
        <v>42772</v>
      </c>
      <c r="AU724" t="s">
        <v>73</v>
      </c>
      <c r="AV724">
        <v>292</v>
      </c>
      <c r="AW724" s="4">
        <v>42772</v>
      </c>
      <c r="BD724">
        <v>45.76</v>
      </c>
      <c r="BN724" t="s">
        <v>74</v>
      </c>
    </row>
    <row r="725" spans="1:66">
      <c r="A725">
        <v>100905</v>
      </c>
      <c r="B725" t="s">
        <v>186</v>
      </c>
      <c r="C725" s="1">
        <v>43300101</v>
      </c>
      <c r="D725" t="s">
        <v>67</v>
      </c>
      <c r="H725" t="str">
        <f t="shared" si="91"/>
        <v>06614040159</v>
      </c>
      <c r="I725" t="str">
        <f t="shared" si="92"/>
        <v>09279340153</v>
      </c>
      <c r="K725" t="str">
        <f>""</f>
        <v/>
      </c>
      <c r="M725" t="s">
        <v>68</v>
      </c>
      <c r="N725" t="str">
        <f t="shared" si="90"/>
        <v>FOR</v>
      </c>
      <c r="O725" t="s">
        <v>69</v>
      </c>
      <c r="P725" t="s">
        <v>75</v>
      </c>
      <c r="Q725">
        <v>2016</v>
      </c>
      <c r="R725" s="4">
        <v>42571</v>
      </c>
      <c r="S725" s="2">
        <v>42584</v>
      </c>
      <c r="T725" s="2">
        <v>42580</v>
      </c>
      <c r="U725" s="4">
        <v>42640</v>
      </c>
      <c r="V725" t="s">
        <v>71</v>
      </c>
      <c r="W725" t="str">
        <f>"            16104223"</f>
        <v xml:space="preserve">            16104223</v>
      </c>
      <c r="X725" s="1">
        <v>5856</v>
      </c>
      <c r="Y725">
        <v>0</v>
      </c>
      <c r="Z725" s="5">
        <v>4800</v>
      </c>
      <c r="AA725" s="3">
        <v>153</v>
      </c>
      <c r="AB725" s="5">
        <v>734400</v>
      </c>
      <c r="AC725" s="1">
        <v>4800</v>
      </c>
      <c r="AD725">
        <v>153</v>
      </c>
      <c r="AE725" s="1">
        <v>734400</v>
      </c>
      <c r="AF725">
        <v>0</v>
      </c>
      <c r="AJ725">
        <v>0</v>
      </c>
      <c r="AK725">
        <v>0</v>
      </c>
      <c r="AL725">
        <v>0</v>
      </c>
      <c r="AM725">
        <v>0</v>
      </c>
      <c r="AN725">
        <v>0</v>
      </c>
      <c r="AO725">
        <v>0</v>
      </c>
      <c r="AP725" s="2">
        <v>42831</v>
      </c>
      <c r="AQ725" t="s">
        <v>72</v>
      </c>
      <c r="AR725" t="s">
        <v>72</v>
      </c>
      <c r="AS725">
        <v>590</v>
      </c>
      <c r="AT725" s="4">
        <v>42793</v>
      </c>
      <c r="AU725" t="s">
        <v>73</v>
      </c>
      <c r="AV725">
        <v>590</v>
      </c>
      <c r="AW725" s="4">
        <v>42793</v>
      </c>
      <c r="BD725">
        <v>0</v>
      </c>
      <c r="BN725" t="s">
        <v>74</v>
      </c>
    </row>
    <row r="726" spans="1:66">
      <c r="A726">
        <v>100905</v>
      </c>
      <c r="B726" t="s">
        <v>186</v>
      </c>
      <c r="C726" s="1">
        <v>43300101</v>
      </c>
      <c r="D726" t="s">
        <v>67</v>
      </c>
      <c r="H726" t="str">
        <f t="shared" si="91"/>
        <v>06614040159</v>
      </c>
      <c r="I726" t="str">
        <f t="shared" si="92"/>
        <v>09279340153</v>
      </c>
      <c r="K726" t="str">
        <f>""</f>
        <v/>
      </c>
      <c r="M726" t="s">
        <v>68</v>
      </c>
      <c r="N726" t="str">
        <f t="shared" si="90"/>
        <v>FOR</v>
      </c>
      <c r="O726" t="s">
        <v>69</v>
      </c>
      <c r="P726" t="s">
        <v>75</v>
      </c>
      <c r="Q726">
        <v>2016</v>
      </c>
      <c r="R726" s="4">
        <v>42573</v>
      </c>
      <c r="S726" s="2">
        <v>42584</v>
      </c>
      <c r="T726" s="2">
        <v>42580</v>
      </c>
      <c r="U726" s="4">
        <v>42640</v>
      </c>
      <c r="V726" t="s">
        <v>71</v>
      </c>
      <c r="W726" t="str">
        <f>"            16104286"</f>
        <v xml:space="preserve">            16104286</v>
      </c>
      <c r="X726">
        <v>253.76</v>
      </c>
      <c r="Y726">
        <v>0</v>
      </c>
      <c r="Z726" s="5">
        <v>208</v>
      </c>
      <c r="AA726" s="3">
        <v>132</v>
      </c>
      <c r="AB726" s="5">
        <v>27456</v>
      </c>
      <c r="AC726">
        <v>208</v>
      </c>
      <c r="AD726">
        <v>132</v>
      </c>
      <c r="AE726" s="1">
        <v>27456</v>
      </c>
      <c r="AF726">
        <v>45.76</v>
      </c>
      <c r="AJ726">
        <v>0</v>
      </c>
      <c r="AK726">
        <v>0</v>
      </c>
      <c r="AL726">
        <v>0</v>
      </c>
      <c r="AM726">
        <v>0</v>
      </c>
      <c r="AN726">
        <v>0</v>
      </c>
      <c r="AO726">
        <v>0</v>
      </c>
      <c r="AP726" s="2">
        <v>42831</v>
      </c>
      <c r="AQ726" t="s">
        <v>72</v>
      </c>
      <c r="AR726" t="s">
        <v>72</v>
      </c>
      <c r="AS726">
        <v>292</v>
      </c>
      <c r="AT726" s="4">
        <v>42772</v>
      </c>
      <c r="AU726" t="s">
        <v>73</v>
      </c>
      <c r="AV726">
        <v>292</v>
      </c>
      <c r="AW726" s="4">
        <v>42772</v>
      </c>
      <c r="BD726">
        <v>45.76</v>
      </c>
      <c r="BN726" t="s">
        <v>74</v>
      </c>
    </row>
    <row r="727" spans="1:66">
      <c r="A727">
        <v>100905</v>
      </c>
      <c r="B727" t="s">
        <v>186</v>
      </c>
      <c r="C727" s="1">
        <v>43300101</v>
      </c>
      <c r="D727" t="s">
        <v>67</v>
      </c>
      <c r="H727" t="str">
        <f t="shared" si="91"/>
        <v>06614040159</v>
      </c>
      <c r="I727" t="str">
        <f t="shared" si="92"/>
        <v>09279340153</v>
      </c>
      <c r="K727" t="str">
        <f>""</f>
        <v/>
      </c>
      <c r="M727" t="s">
        <v>68</v>
      </c>
      <c r="N727" t="str">
        <f t="shared" si="90"/>
        <v>FOR</v>
      </c>
      <c r="O727" t="s">
        <v>69</v>
      </c>
      <c r="P727" t="s">
        <v>75</v>
      </c>
      <c r="Q727">
        <v>2016</v>
      </c>
      <c r="R727" s="4">
        <v>42608</v>
      </c>
      <c r="S727" s="2">
        <v>42619</v>
      </c>
      <c r="T727" s="2">
        <v>42619</v>
      </c>
      <c r="U727" s="4">
        <v>42679</v>
      </c>
      <c r="V727" t="s">
        <v>71</v>
      </c>
      <c r="W727" t="str">
        <f>"            16104700"</f>
        <v xml:space="preserve">            16104700</v>
      </c>
      <c r="X727">
        <v>253.76</v>
      </c>
      <c r="Y727">
        <v>0</v>
      </c>
      <c r="Z727" s="5">
        <v>208</v>
      </c>
      <c r="AA727" s="3">
        <v>93</v>
      </c>
      <c r="AB727" s="5">
        <v>19344</v>
      </c>
      <c r="AC727">
        <v>208</v>
      </c>
      <c r="AD727">
        <v>93</v>
      </c>
      <c r="AE727" s="1">
        <v>19344</v>
      </c>
      <c r="AF727">
        <v>45.76</v>
      </c>
      <c r="AJ727">
        <v>0</v>
      </c>
      <c r="AK727">
        <v>0</v>
      </c>
      <c r="AL727">
        <v>0</v>
      </c>
      <c r="AM727">
        <v>0</v>
      </c>
      <c r="AN727">
        <v>0</v>
      </c>
      <c r="AO727">
        <v>0</v>
      </c>
      <c r="AP727" s="2">
        <v>42831</v>
      </c>
      <c r="AQ727" t="s">
        <v>72</v>
      </c>
      <c r="AR727" t="s">
        <v>72</v>
      </c>
      <c r="AS727">
        <v>292</v>
      </c>
      <c r="AT727" s="4">
        <v>42772</v>
      </c>
      <c r="AU727" t="s">
        <v>73</v>
      </c>
      <c r="AV727">
        <v>292</v>
      </c>
      <c r="AW727" s="4">
        <v>42772</v>
      </c>
      <c r="BB727">
        <v>45.76</v>
      </c>
      <c r="BD727">
        <v>0</v>
      </c>
      <c r="BN727" t="s">
        <v>74</v>
      </c>
    </row>
    <row r="728" spans="1:66">
      <c r="A728">
        <v>100905</v>
      </c>
      <c r="B728" t="s">
        <v>186</v>
      </c>
      <c r="C728" s="1">
        <v>43300101</v>
      </c>
      <c r="D728" t="s">
        <v>67</v>
      </c>
      <c r="H728" t="str">
        <f t="shared" si="91"/>
        <v>06614040159</v>
      </c>
      <c r="I728" t="str">
        <f t="shared" si="92"/>
        <v>09279340153</v>
      </c>
      <c r="K728" t="str">
        <f>""</f>
        <v/>
      </c>
      <c r="M728" t="s">
        <v>68</v>
      </c>
      <c r="N728" t="str">
        <f t="shared" si="90"/>
        <v>FOR</v>
      </c>
      <c r="O728" t="s">
        <v>69</v>
      </c>
      <c r="P728" t="s">
        <v>75</v>
      </c>
      <c r="Q728">
        <v>2016</v>
      </c>
      <c r="R728" s="4">
        <v>42611</v>
      </c>
      <c r="S728" s="2">
        <v>42620</v>
      </c>
      <c r="T728" s="2">
        <v>42620</v>
      </c>
      <c r="U728" s="4">
        <v>42680</v>
      </c>
      <c r="V728" t="s">
        <v>71</v>
      </c>
      <c r="W728" t="str">
        <f>"            16104726"</f>
        <v xml:space="preserve">            16104726</v>
      </c>
      <c r="X728" s="1">
        <v>5856</v>
      </c>
      <c r="Y728">
        <v>0</v>
      </c>
      <c r="Z728" s="5">
        <v>4800</v>
      </c>
      <c r="AA728" s="3">
        <v>113</v>
      </c>
      <c r="AB728" s="5">
        <v>542400</v>
      </c>
      <c r="AC728" s="1">
        <v>4800</v>
      </c>
      <c r="AD728">
        <v>113</v>
      </c>
      <c r="AE728" s="1">
        <v>542400</v>
      </c>
      <c r="AF728">
        <v>0</v>
      </c>
      <c r="AJ728">
        <v>0</v>
      </c>
      <c r="AK728">
        <v>0</v>
      </c>
      <c r="AL728">
        <v>0</v>
      </c>
      <c r="AM728">
        <v>0</v>
      </c>
      <c r="AN728">
        <v>0</v>
      </c>
      <c r="AO728">
        <v>0</v>
      </c>
      <c r="AP728" s="2">
        <v>42831</v>
      </c>
      <c r="AQ728" t="s">
        <v>72</v>
      </c>
      <c r="AR728" t="s">
        <v>72</v>
      </c>
      <c r="AS728">
        <v>590</v>
      </c>
      <c r="AT728" s="4">
        <v>42793</v>
      </c>
      <c r="AU728" t="s">
        <v>73</v>
      </c>
      <c r="AV728">
        <v>590</v>
      </c>
      <c r="AW728" s="4">
        <v>42793</v>
      </c>
      <c r="BD728">
        <v>0</v>
      </c>
      <c r="BN728" t="s">
        <v>74</v>
      </c>
    </row>
    <row r="729" spans="1:66">
      <c r="A729">
        <v>100905</v>
      </c>
      <c r="B729" t="s">
        <v>186</v>
      </c>
      <c r="C729" s="1">
        <v>43300101</v>
      </c>
      <c r="D729" t="s">
        <v>67</v>
      </c>
      <c r="H729" t="str">
        <f t="shared" si="91"/>
        <v>06614040159</v>
      </c>
      <c r="I729" t="str">
        <f t="shared" si="92"/>
        <v>09279340153</v>
      </c>
      <c r="K729" t="str">
        <f>""</f>
        <v/>
      </c>
      <c r="M729" t="s">
        <v>68</v>
      </c>
      <c r="N729" t="str">
        <f t="shared" si="90"/>
        <v>FOR</v>
      </c>
      <c r="O729" t="s">
        <v>69</v>
      </c>
      <c r="P729" t="s">
        <v>75</v>
      </c>
      <c r="Q729">
        <v>2016</v>
      </c>
      <c r="R729" s="4">
        <v>42702</v>
      </c>
      <c r="S729" s="2">
        <v>42725</v>
      </c>
      <c r="T729" s="2">
        <v>42719</v>
      </c>
      <c r="U729" s="4">
        <v>42779</v>
      </c>
      <c r="V729" t="s">
        <v>71</v>
      </c>
      <c r="W729" t="str">
        <f>"            16106476"</f>
        <v xml:space="preserve">            16106476</v>
      </c>
      <c r="X729" s="1">
        <v>13360.22</v>
      </c>
      <c r="Y729">
        <v>0</v>
      </c>
      <c r="Z729" s="5">
        <v>10951</v>
      </c>
      <c r="AA729" s="3">
        <v>16</v>
      </c>
      <c r="AB729" s="5">
        <v>175216</v>
      </c>
      <c r="AC729" s="1">
        <v>10951</v>
      </c>
      <c r="AD729">
        <v>16</v>
      </c>
      <c r="AE729" s="1">
        <v>175216</v>
      </c>
      <c r="AF729" s="1">
        <v>2409.2199999999998</v>
      </c>
      <c r="AJ729">
        <v>0</v>
      </c>
      <c r="AK729">
        <v>0</v>
      </c>
      <c r="AL729">
        <v>0</v>
      </c>
      <c r="AM729">
        <v>0</v>
      </c>
      <c r="AN729">
        <v>0</v>
      </c>
      <c r="AO729">
        <v>0</v>
      </c>
      <c r="AP729" s="2">
        <v>42831</v>
      </c>
      <c r="AQ729" t="s">
        <v>72</v>
      </c>
      <c r="AR729" t="s">
        <v>72</v>
      </c>
      <c r="AS729">
        <v>646</v>
      </c>
      <c r="AT729" s="4">
        <v>42795</v>
      </c>
      <c r="AU729" t="s">
        <v>73</v>
      </c>
      <c r="AV729">
        <v>646</v>
      </c>
      <c r="AW729" s="4">
        <v>42795</v>
      </c>
      <c r="AY729" s="1">
        <v>2409.2199999999998</v>
      </c>
      <c r="BD729">
        <v>0</v>
      </c>
      <c r="BN729" t="s">
        <v>74</v>
      </c>
    </row>
    <row r="730" spans="1:66">
      <c r="A730">
        <v>100906</v>
      </c>
      <c r="B730" t="s">
        <v>187</v>
      </c>
      <c r="C730" s="1">
        <v>43300101</v>
      </c>
      <c r="D730" t="s">
        <v>67</v>
      </c>
      <c r="H730" t="str">
        <f t="shared" ref="H730:I753" si="93">"06978161005"</f>
        <v>06978161005</v>
      </c>
      <c r="I730" t="str">
        <f t="shared" si="93"/>
        <v>06978161005</v>
      </c>
      <c r="K730" t="str">
        <f>""</f>
        <v/>
      </c>
      <c r="M730" t="s">
        <v>68</v>
      </c>
      <c r="N730" t="str">
        <f t="shared" si="90"/>
        <v>FOR</v>
      </c>
      <c r="O730" t="s">
        <v>69</v>
      </c>
      <c r="P730" t="s">
        <v>188</v>
      </c>
      <c r="Q730">
        <v>2017</v>
      </c>
      <c r="R730" s="4">
        <v>42759</v>
      </c>
      <c r="S730" s="2">
        <v>42759</v>
      </c>
      <c r="T730" s="2">
        <v>42759</v>
      </c>
      <c r="U730" s="4">
        <v>42819</v>
      </c>
      <c r="V730" t="s">
        <v>71</v>
      </c>
      <c r="W730" t="str">
        <f>"                   5"</f>
        <v xml:space="preserve">                   5</v>
      </c>
      <c r="X730">
        <v>0</v>
      </c>
      <c r="Y730">
        <v>289.67</v>
      </c>
      <c r="Z730" s="5">
        <v>289.67</v>
      </c>
      <c r="AA730" s="3">
        <v>-60</v>
      </c>
      <c r="AB730" s="5">
        <v>-17380.2</v>
      </c>
      <c r="AC730">
        <v>289.67</v>
      </c>
      <c r="AD730">
        <v>-60</v>
      </c>
      <c r="AE730" s="1">
        <v>-17380.2</v>
      </c>
      <c r="AF730">
        <v>0</v>
      </c>
      <c r="AJ730">
        <v>0</v>
      </c>
      <c r="AK730">
        <v>289.67</v>
      </c>
      <c r="AL730">
        <v>289.67</v>
      </c>
      <c r="AM730">
        <v>0</v>
      </c>
      <c r="AN730">
        <v>289.67</v>
      </c>
      <c r="AO730">
        <v>289.67</v>
      </c>
      <c r="AP730" s="2">
        <v>42831</v>
      </c>
      <c r="AQ730" t="s">
        <v>72</v>
      </c>
      <c r="AR730" t="s">
        <v>72</v>
      </c>
      <c r="AS730">
        <v>107</v>
      </c>
      <c r="AT730" s="4">
        <v>42759</v>
      </c>
      <c r="AV730">
        <v>107</v>
      </c>
      <c r="AW730" s="4">
        <v>42759</v>
      </c>
      <c r="BD730">
        <v>0</v>
      </c>
      <c r="BN730" t="s">
        <v>74</v>
      </c>
    </row>
    <row r="731" spans="1:66">
      <c r="A731">
        <v>100906</v>
      </c>
      <c r="B731" t="s">
        <v>187</v>
      </c>
      <c r="C731" s="1">
        <v>43300101</v>
      </c>
      <c r="D731" t="s">
        <v>67</v>
      </c>
      <c r="H731" t="str">
        <f t="shared" si="93"/>
        <v>06978161005</v>
      </c>
      <c r="I731" t="str">
        <f t="shared" si="93"/>
        <v>06978161005</v>
      </c>
      <c r="K731" t="str">
        <f>""</f>
        <v/>
      </c>
      <c r="M731" t="s">
        <v>68</v>
      </c>
      <c r="N731" t="str">
        <f t="shared" si="90"/>
        <v>FOR</v>
      </c>
      <c r="O731" t="s">
        <v>69</v>
      </c>
      <c r="P731" t="s">
        <v>189</v>
      </c>
      <c r="Q731">
        <v>2017</v>
      </c>
      <c r="R731" s="4">
        <v>42759</v>
      </c>
      <c r="S731" s="2">
        <v>42759</v>
      </c>
      <c r="T731" s="2">
        <v>42759</v>
      </c>
      <c r="U731" s="4">
        <v>42819</v>
      </c>
      <c r="V731" t="s">
        <v>71</v>
      </c>
      <c r="W731" t="str">
        <f>"                   6"</f>
        <v xml:space="preserve">                   6</v>
      </c>
      <c r="X731">
        <v>0</v>
      </c>
      <c r="Y731">
        <v>147.96</v>
      </c>
      <c r="Z731" s="5">
        <v>147.96</v>
      </c>
      <c r="AA731" s="3">
        <v>-60</v>
      </c>
      <c r="AB731" s="5">
        <v>-8877.6</v>
      </c>
      <c r="AC731">
        <v>147.96</v>
      </c>
      <c r="AD731">
        <v>-60</v>
      </c>
      <c r="AE731" s="1">
        <v>-8877.6</v>
      </c>
      <c r="AF731">
        <v>0</v>
      </c>
      <c r="AJ731">
        <v>0</v>
      </c>
      <c r="AK731">
        <v>147.96</v>
      </c>
      <c r="AL731">
        <v>147.96</v>
      </c>
      <c r="AM731">
        <v>0</v>
      </c>
      <c r="AN731">
        <v>147.96</v>
      </c>
      <c r="AO731">
        <v>147.96</v>
      </c>
      <c r="AP731" s="2">
        <v>42831</v>
      </c>
      <c r="AQ731" t="s">
        <v>72</v>
      </c>
      <c r="AR731" t="s">
        <v>72</v>
      </c>
      <c r="AS731">
        <v>107</v>
      </c>
      <c r="AT731" s="4">
        <v>42759</v>
      </c>
      <c r="AV731">
        <v>107</v>
      </c>
      <c r="AW731" s="4">
        <v>42759</v>
      </c>
      <c r="BD731">
        <v>0</v>
      </c>
      <c r="BN731" t="s">
        <v>74</v>
      </c>
    </row>
    <row r="732" spans="1:66">
      <c r="A732">
        <v>100906</v>
      </c>
      <c r="B732" t="s">
        <v>187</v>
      </c>
      <c r="C732" s="1">
        <v>43300101</v>
      </c>
      <c r="D732" t="s">
        <v>67</v>
      </c>
      <c r="H732" t="str">
        <f t="shared" si="93"/>
        <v>06978161005</v>
      </c>
      <c r="I732" t="str">
        <f t="shared" si="93"/>
        <v>06978161005</v>
      </c>
      <c r="K732" t="str">
        <f>""</f>
        <v/>
      </c>
      <c r="M732" t="s">
        <v>68</v>
      </c>
      <c r="N732" t="str">
        <f t="shared" si="90"/>
        <v>FOR</v>
      </c>
      <c r="O732" t="s">
        <v>69</v>
      </c>
      <c r="P732" t="s">
        <v>190</v>
      </c>
      <c r="Q732">
        <v>2017</v>
      </c>
      <c r="R732" s="4">
        <v>42759</v>
      </c>
      <c r="S732" s="2">
        <v>42759</v>
      </c>
      <c r="T732" s="2">
        <v>42759</v>
      </c>
      <c r="U732" s="4">
        <v>42819</v>
      </c>
      <c r="V732" t="s">
        <v>71</v>
      </c>
      <c r="W732" t="str">
        <f>"                   7"</f>
        <v xml:space="preserve">                   7</v>
      </c>
      <c r="X732">
        <v>0</v>
      </c>
      <c r="Y732">
        <v>113.13</v>
      </c>
      <c r="Z732" s="5">
        <v>113.13</v>
      </c>
      <c r="AA732" s="3">
        <v>-60</v>
      </c>
      <c r="AB732" s="5">
        <v>-6787.8</v>
      </c>
      <c r="AC732">
        <v>113.13</v>
      </c>
      <c r="AD732">
        <v>-60</v>
      </c>
      <c r="AE732" s="1">
        <v>-6787.8</v>
      </c>
      <c r="AF732">
        <v>0</v>
      </c>
      <c r="AJ732">
        <v>0</v>
      </c>
      <c r="AK732">
        <v>113.13</v>
      </c>
      <c r="AL732">
        <v>113.13</v>
      </c>
      <c r="AM732">
        <v>0</v>
      </c>
      <c r="AN732">
        <v>113.13</v>
      </c>
      <c r="AO732">
        <v>113.13</v>
      </c>
      <c r="AP732" s="2">
        <v>42831</v>
      </c>
      <c r="AQ732" t="s">
        <v>72</v>
      </c>
      <c r="AR732" t="s">
        <v>72</v>
      </c>
      <c r="AS732">
        <v>107</v>
      </c>
      <c r="AT732" s="4">
        <v>42759</v>
      </c>
      <c r="AV732">
        <v>107</v>
      </c>
      <c r="AW732" s="4">
        <v>42759</v>
      </c>
      <c r="BD732">
        <v>0</v>
      </c>
      <c r="BN732" t="s">
        <v>74</v>
      </c>
    </row>
    <row r="733" spans="1:66">
      <c r="A733">
        <v>100906</v>
      </c>
      <c r="B733" t="s">
        <v>187</v>
      </c>
      <c r="C733" s="1">
        <v>43300101</v>
      </c>
      <c r="D733" t="s">
        <v>67</v>
      </c>
      <c r="H733" t="str">
        <f t="shared" si="93"/>
        <v>06978161005</v>
      </c>
      <c r="I733" t="str">
        <f t="shared" si="93"/>
        <v>06978161005</v>
      </c>
      <c r="K733" t="str">
        <f>""</f>
        <v/>
      </c>
      <c r="M733" t="s">
        <v>68</v>
      </c>
      <c r="N733" t="str">
        <f t="shared" si="90"/>
        <v>FOR</v>
      </c>
      <c r="O733" t="s">
        <v>69</v>
      </c>
      <c r="P733" t="s">
        <v>191</v>
      </c>
      <c r="Q733">
        <v>2017</v>
      </c>
      <c r="R733" s="4">
        <v>42759</v>
      </c>
      <c r="S733" s="2">
        <v>42759</v>
      </c>
      <c r="T733" s="2">
        <v>42759</v>
      </c>
      <c r="U733" s="4">
        <v>42819</v>
      </c>
      <c r="V733" t="s">
        <v>71</v>
      </c>
      <c r="W733" t="str">
        <f>"                   8"</f>
        <v xml:space="preserve">                   8</v>
      </c>
      <c r="X733">
        <v>0</v>
      </c>
      <c r="Y733">
        <v>1.53</v>
      </c>
      <c r="Z733" s="5">
        <v>1.53</v>
      </c>
      <c r="AA733" s="3">
        <v>-60</v>
      </c>
      <c r="AB733" s="3">
        <v>-91.8</v>
      </c>
      <c r="AC733">
        <v>1.53</v>
      </c>
      <c r="AD733">
        <v>-60</v>
      </c>
      <c r="AE733">
        <v>-91.8</v>
      </c>
      <c r="AF733">
        <v>0</v>
      </c>
      <c r="AJ733">
        <v>1.53</v>
      </c>
      <c r="AK733">
        <v>1.53</v>
      </c>
      <c r="AL733">
        <v>1.53</v>
      </c>
      <c r="AM733">
        <v>1.53</v>
      </c>
      <c r="AN733">
        <v>1.53</v>
      </c>
      <c r="AO733">
        <v>1.53</v>
      </c>
      <c r="AP733" s="2">
        <v>42831</v>
      </c>
      <c r="AQ733" t="s">
        <v>72</v>
      </c>
      <c r="AR733" t="s">
        <v>72</v>
      </c>
      <c r="AS733">
        <v>107</v>
      </c>
      <c r="AT733" s="4">
        <v>42759</v>
      </c>
      <c r="AV733">
        <v>107</v>
      </c>
      <c r="AW733" s="4">
        <v>42759</v>
      </c>
      <c r="BD733">
        <v>0</v>
      </c>
      <c r="BN733" t="s">
        <v>74</v>
      </c>
    </row>
    <row r="734" spans="1:66">
      <c r="A734">
        <v>100906</v>
      </c>
      <c r="B734" t="s">
        <v>187</v>
      </c>
      <c r="C734" s="1">
        <v>43300101</v>
      </c>
      <c r="D734" t="s">
        <v>67</v>
      </c>
      <c r="H734" t="str">
        <f t="shared" si="93"/>
        <v>06978161005</v>
      </c>
      <c r="I734" t="str">
        <f t="shared" si="93"/>
        <v>06978161005</v>
      </c>
      <c r="K734" t="str">
        <f>""</f>
        <v/>
      </c>
      <c r="M734" t="s">
        <v>68</v>
      </c>
      <c r="N734" t="str">
        <f t="shared" si="90"/>
        <v>FOR</v>
      </c>
      <c r="O734" t="s">
        <v>69</v>
      </c>
      <c r="P734" t="s">
        <v>192</v>
      </c>
      <c r="Q734">
        <v>2017</v>
      </c>
      <c r="R734" s="4">
        <v>42759</v>
      </c>
      <c r="S734" s="2">
        <v>42759</v>
      </c>
      <c r="T734" s="2">
        <v>42759</v>
      </c>
      <c r="U734" s="4">
        <v>42819</v>
      </c>
      <c r="V734" t="s">
        <v>71</v>
      </c>
      <c r="W734" t="str">
        <f>"                   9"</f>
        <v xml:space="preserve">                   9</v>
      </c>
      <c r="X734">
        <v>0</v>
      </c>
      <c r="Y734">
        <v>149.5</v>
      </c>
      <c r="Z734" s="5">
        <v>149.5</v>
      </c>
      <c r="AA734" s="3">
        <v>-60</v>
      </c>
      <c r="AB734" s="5">
        <v>-8970</v>
      </c>
      <c r="AC734">
        <v>149.5</v>
      </c>
      <c r="AD734">
        <v>-60</v>
      </c>
      <c r="AE734" s="1">
        <v>-8970</v>
      </c>
      <c r="AF734">
        <v>0</v>
      </c>
      <c r="AJ734">
        <v>0</v>
      </c>
      <c r="AK734">
        <v>149.5</v>
      </c>
      <c r="AL734">
        <v>149.5</v>
      </c>
      <c r="AM734">
        <v>0</v>
      </c>
      <c r="AN734">
        <v>149.5</v>
      </c>
      <c r="AO734">
        <v>149.5</v>
      </c>
      <c r="AP734" s="2">
        <v>42831</v>
      </c>
      <c r="AQ734" t="s">
        <v>72</v>
      </c>
      <c r="AR734" t="s">
        <v>72</v>
      </c>
      <c r="AS734">
        <v>107</v>
      </c>
      <c r="AT734" s="4">
        <v>42759</v>
      </c>
      <c r="AV734">
        <v>107</v>
      </c>
      <c r="AW734" s="4">
        <v>42759</v>
      </c>
      <c r="BD734">
        <v>0</v>
      </c>
      <c r="BN734" t="s">
        <v>74</v>
      </c>
    </row>
    <row r="735" spans="1:66">
      <c r="A735">
        <v>100906</v>
      </c>
      <c r="B735" t="s">
        <v>187</v>
      </c>
      <c r="C735" s="1">
        <v>43300101</v>
      </c>
      <c r="D735" t="s">
        <v>67</v>
      </c>
      <c r="H735" t="str">
        <f t="shared" si="93"/>
        <v>06978161005</v>
      </c>
      <c r="I735" t="str">
        <f t="shared" si="93"/>
        <v>06978161005</v>
      </c>
      <c r="K735" t="str">
        <f>""</f>
        <v/>
      </c>
      <c r="M735" t="s">
        <v>68</v>
      </c>
      <c r="N735" t="str">
        <f t="shared" si="90"/>
        <v>FOR</v>
      </c>
      <c r="O735" t="s">
        <v>69</v>
      </c>
      <c r="P735" t="s">
        <v>193</v>
      </c>
      <c r="Q735">
        <v>2017</v>
      </c>
      <c r="R735" s="4">
        <v>42759</v>
      </c>
      <c r="S735" s="2">
        <v>42759</v>
      </c>
      <c r="T735" s="2">
        <v>42759</v>
      </c>
      <c r="U735" s="4">
        <v>42819</v>
      </c>
      <c r="V735" t="s">
        <v>71</v>
      </c>
      <c r="W735" t="str">
        <f>"                  10"</f>
        <v xml:space="preserve">                  10</v>
      </c>
      <c r="X735">
        <v>0</v>
      </c>
      <c r="Y735">
        <v>90</v>
      </c>
      <c r="Z735" s="5">
        <v>90</v>
      </c>
      <c r="AA735" s="3">
        <v>-60</v>
      </c>
      <c r="AB735" s="5">
        <v>-5400</v>
      </c>
      <c r="AC735">
        <v>90</v>
      </c>
      <c r="AD735">
        <v>-60</v>
      </c>
      <c r="AE735" s="1">
        <v>-5400</v>
      </c>
      <c r="AF735">
        <v>0</v>
      </c>
      <c r="AJ735">
        <v>0</v>
      </c>
      <c r="AK735">
        <v>90</v>
      </c>
      <c r="AL735">
        <v>90</v>
      </c>
      <c r="AM735">
        <v>0</v>
      </c>
      <c r="AN735">
        <v>90</v>
      </c>
      <c r="AO735">
        <v>90</v>
      </c>
      <c r="AP735" s="2">
        <v>42831</v>
      </c>
      <c r="AQ735" t="s">
        <v>72</v>
      </c>
      <c r="AR735" t="s">
        <v>72</v>
      </c>
      <c r="AS735">
        <v>107</v>
      </c>
      <c r="AT735" s="4">
        <v>42759</v>
      </c>
      <c r="AV735">
        <v>107</v>
      </c>
      <c r="AW735" s="4">
        <v>42759</v>
      </c>
      <c r="BD735">
        <v>0</v>
      </c>
      <c r="BN735" t="s">
        <v>74</v>
      </c>
    </row>
    <row r="736" spans="1:66">
      <c r="A736">
        <v>100906</v>
      </c>
      <c r="B736" t="s">
        <v>187</v>
      </c>
      <c r="C736" s="1">
        <v>43300101</v>
      </c>
      <c r="D736" t="s">
        <v>67</v>
      </c>
      <c r="H736" t="str">
        <f t="shared" si="93"/>
        <v>06978161005</v>
      </c>
      <c r="I736" t="str">
        <f t="shared" si="93"/>
        <v>06978161005</v>
      </c>
      <c r="K736" t="str">
        <f>""</f>
        <v/>
      </c>
      <c r="M736" t="s">
        <v>68</v>
      </c>
      <c r="N736" t="str">
        <f t="shared" si="90"/>
        <v>FOR</v>
      </c>
      <c r="O736" t="s">
        <v>69</v>
      </c>
      <c r="P736" t="s">
        <v>194</v>
      </c>
      <c r="Q736">
        <v>2017</v>
      </c>
      <c r="R736" s="4">
        <v>42759</v>
      </c>
      <c r="S736" s="2">
        <v>42759</v>
      </c>
      <c r="T736" s="2">
        <v>42759</v>
      </c>
      <c r="U736" s="4">
        <v>42819</v>
      </c>
      <c r="V736" t="s">
        <v>71</v>
      </c>
      <c r="W736" t="str">
        <f>"                  11"</f>
        <v xml:space="preserve">                  11</v>
      </c>
      <c r="X736">
        <v>0</v>
      </c>
      <c r="Y736">
        <v>378.55</v>
      </c>
      <c r="Z736" s="5">
        <v>378.55</v>
      </c>
      <c r="AA736" s="3">
        <v>-60</v>
      </c>
      <c r="AB736" s="5">
        <v>-22713</v>
      </c>
      <c r="AC736">
        <v>378.55</v>
      </c>
      <c r="AD736">
        <v>-60</v>
      </c>
      <c r="AE736" s="1">
        <v>-22713</v>
      </c>
      <c r="AF736">
        <v>0</v>
      </c>
      <c r="AJ736">
        <v>0</v>
      </c>
      <c r="AK736">
        <v>378.55</v>
      </c>
      <c r="AL736">
        <v>378.55</v>
      </c>
      <c r="AM736">
        <v>0</v>
      </c>
      <c r="AN736">
        <v>378.55</v>
      </c>
      <c r="AO736">
        <v>378.55</v>
      </c>
      <c r="AP736" s="2">
        <v>42831</v>
      </c>
      <c r="AQ736" t="s">
        <v>72</v>
      </c>
      <c r="AR736" t="s">
        <v>72</v>
      </c>
      <c r="AS736">
        <v>107</v>
      </c>
      <c r="AT736" s="4">
        <v>42759</v>
      </c>
      <c r="AV736">
        <v>107</v>
      </c>
      <c r="AW736" s="4">
        <v>42759</v>
      </c>
      <c r="BD736">
        <v>0</v>
      </c>
      <c r="BN736" t="s">
        <v>74</v>
      </c>
    </row>
    <row r="737" spans="1:66">
      <c r="A737">
        <v>100906</v>
      </c>
      <c r="B737" t="s">
        <v>187</v>
      </c>
      <c r="C737" s="1">
        <v>43300101</v>
      </c>
      <c r="D737" t="s">
        <v>67</v>
      </c>
      <c r="H737" t="str">
        <f t="shared" si="93"/>
        <v>06978161005</v>
      </c>
      <c r="I737" t="str">
        <f t="shared" si="93"/>
        <v>06978161005</v>
      </c>
      <c r="K737" t="str">
        <f>""</f>
        <v/>
      </c>
      <c r="M737" t="s">
        <v>68</v>
      </c>
      <c r="N737" t="str">
        <f t="shared" ref="N737:N768" si="94">"FOR"</f>
        <v>FOR</v>
      </c>
      <c r="O737" t="s">
        <v>69</v>
      </c>
      <c r="P737" t="s">
        <v>195</v>
      </c>
      <c r="Q737">
        <v>2017</v>
      </c>
      <c r="R737" s="4">
        <v>42759</v>
      </c>
      <c r="S737" s="2">
        <v>42759</v>
      </c>
      <c r="T737" s="2">
        <v>42759</v>
      </c>
      <c r="U737" s="4">
        <v>42819</v>
      </c>
      <c r="V737" t="s">
        <v>71</v>
      </c>
      <c r="W737" t="str">
        <f>"                  12"</f>
        <v xml:space="preserve">                  12</v>
      </c>
      <c r="X737">
        <v>0</v>
      </c>
      <c r="Y737" s="1">
        <v>14959.69</v>
      </c>
      <c r="Z737" s="5">
        <v>14959.69</v>
      </c>
      <c r="AA737" s="3">
        <v>-60</v>
      </c>
      <c r="AB737" s="5">
        <v>-897581.4</v>
      </c>
      <c r="AC737" s="1">
        <v>14959.69</v>
      </c>
      <c r="AD737">
        <v>-60</v>
      </c>
      <c r="AE737" s="1">
        <v>-897581.4</v>
      </c>
      <c r="AF737">
        <v>0</v>
      </c>
      <c r="AJ737" s="1">
        <v>14959.69</v>
      </c>
      <c r="AK737" s="1">
        <v>14959.69</v>
      </c>
      <c r="AL737" s="1">
        <v>14959.69</v>
      </c>
      <c r="AM737" s="1">
        <v>14959.69</v>
      </c>
      <c r="AN737" s="1">
        <v>14959.69</v>
      </c>
      <c r="AO737" s="1">
        <v>14959.69</v>
      </c>
      <c r="AP737" s="2">
        <v>42831</v>
      </c>
      <c r="AQ737" t="s">
        <v>72</v>
      </c>
      <c r="AR737" t="s">
        <v>72</v>
      </c>
      <c r="AS737">
        <v>106</v>
      </c>
      <c r="AT737" s="4">
        <v>42759</v>
      </c>
      <c r="AV737">
        <v>106</v>
      </c>
      <c r="AW737" s="4">
        <v>42759</v>
      </c>
      <c r="BD737">
        <v>0</v>
      </c>
      <c r="BN737" t="s">
        <v>74</v>
      </c>
    </row>
    <row r="738" spans="1:66">
      <c r="A738">
        <v>100906</v>
      </c>
      <c r="B738" t="s">
        <v>187</v>
      </c>
      <c r="C738" s="1">
        <v>43300101</v>
      </c>
      <c r="D738" t="s">
        <v>67</v>
      </c>
      <c r="H738" t="str">
        <f t="shared" si="93"/>
        <v>06978161005</v>
      </c>
      <c r="I738" t="str">
        <f t="shared" si="93"/>
        <v>06978161005</v>
      </c>
      <c r="K738" t="str">
        <f>""</f>
        <v/>
      </c>
      <c r="M738" t="s">
        <v>68</v>
      </c>
      <c r="N738" t="str">
        <f t="shared" si="94"/>
        <v>FOR</v>
      </c>
      <c r="O738" t="s">
        <v>69</v>
      </c>
      <c r="P738" t="s">
        <v>196</v>
      </c>
      <c r="Q738">
        <v>2017</v>
      </c>
      <c r="R738" s="4">
        <v>42783</v>
      </c>
      <c r="S738" s="2">
        <v>42783</v>
      </c>
      <c r="T738" s="2">
        <v>42783</v>
      </c>
      <c r="U738" s="4">
        <v>42843</v>
      </c>
      <c r="V738" t="s">
        <v>71</v>
      </c>
      <c r="W738" t="str">
        <f>"                  22"</f>
        <v xml:space="preserve">                  22</v>
      </c>
      <c r="X738">
        <v>0</v>
      </c>
      <c r="Y738" s="1">
        <v>14959.69</v>
      </c>
      <c r="Z738" s="5">
        <v>14959.69</v>
      </c>
      <c r="AA738" s="3">
        <v>-60</v>
      </c>
      <c r="AB738" s="5">
        <v>-897581.4</v>
      </c>
      <c r="AC738" s="1">
        <v>14959.69</v>
      </c>
      <c r="AD738">
        <v>-60</v>
      </c>
      <c r="AE738" s="1">
        <v>-897581.4</v>
      </c>
      <c r="AF738">
        <v>0</v>
      </c>
      <c r="AJ738" s="1">
        <v>14959.69</v>
      </c>
      <c r="AK738" s="1">
        <v>14959.69</v>
      </c>
      <c r="AL738" s="1">
        <v>14959.69</v>
      </c>
      <c r="AM738" s="1">
        <v>14959.69</v>
      </c>
      <c r="AN738" s="1">
        <v>14959.69</v>
      </c>
      <c r="AO738" s="1">
        <v>14959.69</v>
      </c>
      <c r="AP738" s="2">
        <v>42831</v>
      </c>
      <c r="AQ738" t="s">
        <v>72</v>
      </c>
      <c r="AR738" t="s">
        <v>72</v>
      </c>
      <c r="AS738">
        <v>489</v>
      </c>
      <c r="AT738" s="4">
        <v>42783</v>
      </c>
      <c r="AV738">
        <v>489</v>
      </c>
      <c r="AW738" s="4">
        <v>42783</v>
      </c>
      <c r="BD738">
        <v>0</v>
      </c>
      <c r="BN738" t="s">
        <v>74</v>
      </c>
    </row>
    <row r="739" spans="1:66">
      <c r="A739">
        <v>100906</v>
      </c>
      <c r="B739" t="s">
        <v>187</v>
      </c>
      <c r="C739" s="1">
        <v>43300101</v>
      </c>
      <c r="D739" t="s">
        <v>67</v>
      </c>
      <c r="H739" t="str">
        <f t="shared" si="93"/>
        <v>06978161005</v>
      </c>
      <c r="I739" t="str">
        <f t="shared" si="93"/>
        <v>06978161005</v>
      </c>
      <c r="K739" t="str">
        <f>""</f>
        <v/>
      </c>
      <c r="M739" t="s">
        <v>68</v>
      </c>
      <c r="N739" t="str">
        <f t="shared" si="94"/>
        <v>FOR</v>
      </c>
      <c r="O739" t="s">
        <v>69</v>
      </c>
      <c r="P739" t="s">
        <v>197</v>
      </c>
      <c r="Q739">
        <v>2017</v>
      </c>
      <c r="R739" s="4">
        <v>42783</v>
      </c>
      <c r="S739" s="2">
        <v>42783</v>
      </c>
      <c r="T739" s="2">
        <v>42783</v>
      </c>
      <c r="U739" s="4">
        <v>42843</v>
      </c>
      <c r="V739" t="s">
        <v>71</v>
      </c>
      <c r="W739" t="str">
        <f>"                  23"</f>
        <v xml:space="preserve">                  23</v>
      </c>
      <c r="X739">
        <v>0</v>
      </c>
      <c r="Y739">
        <v>1.29</v>
      </c>
      <c r="Z739" s="5">
        <v>1.29</v>
      </c>
      <c r="AA739" s="3">
        <v>-60</v>
      </c>
      <c r="AB739" s="3">
        <v>-77.400000000000006</v>
      </c>
      <c r="AC739">
        <v>1.29</v>
      </c>
      <c r="AD739">
        <v>-60</v>
      </c>
      <c r="AE739">
        <v>-77.400000000000006</v>
      </c>
      <c r="AF739">
        <v>0</v>
      </c>
      <c r="AJ739">
        <v>1.29</v>
      </c>
      <c r="AK739">
        <v>1.29</v>
      </c>
      <c r="AL739">
        <v>1.29</v>
      </c>
      <c r="AM739">
        <v>1.29</v>
      </c>
      <c r="AN739">
        <v>1.29</v>
      </c>
      <c r="AO739">
        <v>1.29</v>
      </c>
      <c r="AP739" s="2">
        <v>42831</v>
      </c>
      <c r="AQ739" t="s">
        <v>72</v>
      </c>
      <c r="AR739" t="s">
        <v>72</v>
      </c>
      <c r="AS739">
        <v>490</v>
      </c>
      <c r="AT739" s="4">
        <v>42783</v>
      </c>
      <c r="AV739">
        <v>490</v>
      </c>
      <c r="AW739" s="4">
        <v>42783</v>
      </c>
      <c r="BD739">
        <v>0</v>
      </c>
      <c r="BN739" t="s">
        <v>74</v>
      </c>
    </row>
    <row r="740" spans="1:66">
      <c r="A740">
        <v>100906</v>
      </c>
      <c r="B740" t="s">
        <v>187</v>
      </c>
      <c r="C740" s="1">
        <v>43300101</v>
      </c>
      <c r="D740" t="s">
        <v>67</v>
      </c>
      <c r="H740" t="str">
        <f t="shared" si="93"/>
        <v>06978161005</v>
      </c>
      <c r="I740" t="str">
        <f t="shared" si="93"/>
        <v>06978161005</v>
      </c>
      <c r="K740" t="str">
        <f>""</f>
        <v/>
      </c>
      <c r="M740" t="s">
        <v>68</v>
      </c>
      <c r="N740" t="str">
        <f t="shared" si="94"/>
        <v>FOR</v>
      </c>
      <c r="O740" t="s">
        <v>69</v>
      </c>
      <c r="P740" t="s">
        <v>198</v>
      </c>
      <c r="Q740">
        <v>2017</v>
      </c>
      <c r="R740" s="4">
        <v>42783</v>
      </c>
      <c r="S740" s="2">
        <v>42783</v>
      </c>
      <c r="T740" s="2">
        <v>42783</v>
      </c>
      <c r="U740" s="4">
        <v>42843</v>
      </c>
      <c r="V740" t="s">
        <v>71</v>
      </c>
      <c r="W740" t="str">
        <f>"                  24"</f>
        <v xml:space="preserve">                  24</v>
      </c>
      <c r="X740">
        <v>0</v>
      </c>
      <c r="Y740">
        <v>152.97999999999999</v>
      </c>
      <c r="Z740" s="5">
        <v>152.97999999999999</v>
      </c>
      <c r="AA740" s="3">
        <v>-60</v>
      </c>
      <c r="AB740" s="5">
        <v>-9178.7999999999993</v>
      </c>
      <c r="AC740">
        <v>152.97999999999999</v>
      </c>
      <c r="AD740">
        <v>-60</v>
      </c>
      <c r="AE740" s="1">
        <v>-9178.7999999999993</v>
      </c>
      <c r="AF740">
        <v>0</v>
      </c>
      <c r="AJ740">
        <v>152.97999999999999</v>
      </c>
      <c r="AK740">
        <v>152.97999999999999</v>
      </c>
      <c r="AL740">
        <v>152.97999999999999</v>
      </c>
      <c r="AM740">
        <v>152.97999999999999</v>
      </c>
      <c r="AN740">
        <v>152.97999999999999</v>
      </c>
      <c r="AO740">
        <v>152.97999999999999</v>
      </c>
      <c r="AP740" s="2">
        <v>42831</v>
      </c>
      <c r="AQ740" t="s">
        <v>72</v>
      </c>
      <c r="AR740" t="s">
        <v>72</v>
      </c>
      <c r="AS740">
        <v>490</v>
      </c>
      <c r="AT740" s="4">
        <v>42783</v>
      </c>
      <c r="AV740">
        <v>490</v>
      </c>
      <c r="AW740" s="4">
        <v>42783</v>
      </c>
      <c r="BD740">
        <v>0</v>
      </c>
      <c r="BN740" t="s">
        <v>74</v>
      </c>
    </row>
    <row r="741" spans="1:66">
      <c r="A741">
        <v>100906</v>
      </c>
      <c r="B741" t="s">
        <v>187</v>
      </c>
      <c r="C741" s="1">
        <v>43300101</v>
      </c>
      <c r="D741" t="s">
        <v>67</v>
      </c>
      <c r="H741" t="str">
        <f t="shared" si="93"/>
        <v>06978161005</v>
      </c>
      <c r="I741" t="str">
        <f t="shared" si="93"/>
        <v>06978161005</v>
      </c>
      <c r="K741" t="str">
        <f>""</f>
        <v/>
      </c>
      <c r="M741" t="s">
        <v>68</v>
      </c>
      <c r="N741" t="str">
        <f t="shared" si="94"/>
        <v>FOR</v>
      </c>
      <c r="O741" t="s">
        <v>69</v>
      </c>
      <c r="P741" t="s">
        <v>199</v>
      </c>
      <c r="Q741">
        <v>2017</v>
      </c>
      <c r="R741" s="4">
        <v>42783</v>
      </c>
      <c r="S741" s="2">
        <v>42783</v>
      </c>
      <c r="T741" s="2">
        <v>42783</v>
      </c>
      <c r="U741" s="4">
        <v>42843</v>
      </c>
      <c r="V741" t="s">
        <v>71</v>
      </c>
      <c r="W741" t="str">
        <f>"                  25"</f>
        <v xml:space="preserve">                  25</v>
      </c>
      <c r="X741">
        <v>0</v>
      </c>
      <c r="Y741">
        <v>90</v>
      </c>
      <c r="Z741" s="5">
        <v>90</v>
      </c>
      <c r="AA741" s="3">
        <v>-60</v>
      </c>
      <c r="AB741" s="5">
        <v>-5400</v>
      </c>
      <c r="AC741">
        <v>90</v>
      </c>
      <c r="AD741">
        <v>-60</v>
      </c>
      <c r="AE741" s="1">
        <v>-5400</v>
      </c>
      <c r="AF741">
        <v>0</v>
      </c>
      <c r="AJ741">
        <v>90</v>
      </c>
      <c r="AK741">
        <v>90</v>
      </c>
      <c r="AL741">
        <v>90</v>
      </c>
      <c r="AM741">
        <v>90</v>
      </c>
      <c r="AN741">
        <v>90</v>
      </c>
      <c r="AO741">
        <v>90</v>
      </c>
      <c r="AP741" s="2">
        <v>42831</v>
      </c>
      <c r="AQ741" t="s">
        <v>72</v>
      </c>
      <c r="AR741" t="s">
        <v>72</v>
      </c>
      <c r="AS741">
        <v>490</v>
      </c>
      <c r="AT741" s="4">
        <v>42783</v>
      </c>
      <c r="AV741">
        <v>490</v>
      </c>
      <c r="AW741" s="4">
        <v>42783</v>
      </c>
      <c r="BD741">
        <v>0</v>
      </c>
      <c r="BN741" t="s">
        <v>74</v>
      </c>
    </row>
    <row r="742" spans="1:66">
      <c r="A742">
        <v>100906</v>
      </c>
      <c r="B742" t="s">
        <v>187</v>
      </c>
      <c r="C742" s="1">
        <v>43300101</v>
      </c>
      <c r="D742" t="s">
        <v>67</v>
      </c>
      <c r="H742" t="str">
        <f t="shared" si="93"/>
        <v>06978161005</v>
      </c>
      <c r="I742" t="str">
        <f t="shared" si="93"/>
        <v>06978161005</v>
      </c>
      <c r="K742" t="str">
        <f>""</f>
        <v/>
      </c>
      <c r="M742" t="s">
        <v>68</v>
      </c>
      <c r="N742" t="str">
        <f t="shared" si="94"/>
        <v>FOR</v>
      </c>
      <c r="O742" t="s">
        <v>69</v>
      </c>
      <c r="P742" t="s">
        <v>200</v>
      </c>
      <c r="Q742">
        <v>2017</v>
      </c>
      <c r="R742" s="4">
        <v>42783</v>
      </c>
      <c r="S742" s="2">
        <v>42783</v>
      </c>
      <c r="T742" s="2">
        <v>42783</v>
      </c>
      <c r="U742" s="4">
        <v>42843</v>
      </c>
      <c r="V742" t="s">
        <v>71</v>
      </c>
      <c r="W742" t="str">
        <f>"                  26"</f>
        <v xml:space="preserve">                  26</v>
      </c>
      <c r="X742">
        <v>0</v>
      </c>
      <c r="Y742">
        <v>159.61000000000001</v>
      </c>
      <c r="Z742" s="5">
        <v>159.61000000000001</v>
      </c>
      <c r="AA742" s="3">
        <v>-60</v>
      </c>
      <c r="AB742" s="5">
        <v>-9576.6</v>
      </c>
      <c r="AC742">
        <v>159.61000000000001</v>
      </c>
      <c r="AD742">
        <v>-60</v>
      </c>
      <c r="AE742" s="1">
        <v>-9576.6</v>
      </c>
      <c r="AF742">
        <v>0</v>
      </c>
      <c r="AJ742">
        <v>159.61000000000001</v>
      </c>
      <c r="AK742">
        <v>159.61000000000001</v>
      </c>
      <c r="AL742">
        <v>159.61000000000001</v>
      </c>
      <c r="AM742">
        <v>159.61000000000001</v>
      </c>
      <c r="AN742">
        <v>159.61000000000001</v>
      </c>
      <c r="AO742">
        <v>159.61000000000001</v>
      </c>
      <c r="AP742" s="2">
        <v>42831</v>
      </c>
      <c r="AQ742" t="s">
        <v>72</v>
      </c>
      <c r="AR742" t="s">
        <v>72</v>
      </c>
      <c r="AS742">
        <v>490</v>
      </c>
      <c r="AT742" s="4">
        <v>42783</v>
      </c>
      <c r="AV742">
        <v>490</v>
      </c>
      <c r="AW742" s="4">
        <v>42783</v>
      </c>
      <c r="BD742">
        <v>0</v>
      </c>
      <c r="BN742" t="s">
        <v>74</v>
      </c>
    </row>
    <row r="743" spans="1:66">
      <c r="A743">
        <v>100906</v>
      </c>
      <c r="B743" t="s">
        <v>187</v>
      </c>
      <c r="C743" s="1">
        <v>43300101</v>
      </c>
      <c r="D743" t="s">
        <v>67</v>
      </c>
      <c r="H743" t="str">
        <f t="shared" si="93"/>
        <v>06978161005</v>
      </c>
      <c r="I743" t="str">
        <f t="shared" si="93"/>
        <v>06978161005</v>
      </c>
      <c r="K743" t="str">
        <f>""</f>
        <v/>
      </c>
      <c r="M743" t="s">
        <v>68</v>
      </c>
      <c r="N743" t="str">
        <f t="shared" si="94"/>
        <v>FOR</v>
      </c>
      <c r="O743" t="s">
        <v>69</v>
      </c>
      <c r="P743" t="s">
        <v>201</v>
      </c>
      <c r="Q743">
        <v>2017</v>
      </c>
      <c r="R743" s="4">
        <v>42783</v>
      </c>
      <c r="S743" s="2">
        <v>42783</v>
      </c>
      <c r="T743" s="2">
        <v>42783</v>
      </c>
      <c r="U743" s="4">
        <v>42843</v>
      </c>
      <c r="V743" t="s">
        <v>71</v>
      </c>
      <c r="W743" t="str">
        <f>"                  27"</f>
        <v xml:space="preserve">                  27</v>
      </c>
      <c r="X743">
        <v>0</v>
      </c>
      <c r="Y743">
        <v>113.63</v>
      </c>
      <c r="Z743" s="5">
        <v>113.63</v>
      </c>
      <c r="AA743" s="3">
        <v>-60</v>
      </c>
      <c r="AB743" s="5">
        <v>-6817.8</v>
      </c>
      <c r="AC743">
        <v>113.63</v>
      </c>
      <c r="AD743">
        <v>-60</v>
      </c>
      <c r="AE743" s="1">
        <v>-6817.8</v>
      </c>
      <c r="AF743">
        <v>0</v>
      </c>
      <c r="AJ743">
        <v>113.63</v>
      </c>
      <c r="AK743">
        <v>113.63</v>
      </c>
      <c r="AL743">
        <v>113.63</v>
      </c>
      <c r="AM743">
        <v>113.63</v>
      </c>
      <c r="AN743">
        <v>113.63</v>
      </c>
      <c r="AO743">
        <v>113.63</v>
      </c>
      <c r="AP743" s="2">
        <v>42831</v>
      </c>
      <c r="AQ743" t="s">
        <v>72</v>
      </c>
      <c r="AR743" t="s">
        <v>72</v>
      </c>
      <c r="AS743">
        <v>490</v>
      </c>
      <c r="AT743" s="4">
        <v>42783</v>
      </c>
      <c r="AV743">
        <v>490</v>
      </c>
      <c r="AW743" s="4">
        <v>42783</v>
      </c>
      <c r="BD743">
        <v>0</v>
      </c>
      <c r="BN743" t="s">
        <v>74</v>
      </c>
    </row>
    <row r="744" spans="1:66">
      <c r="A744">
        <v>100906</v>
      </c>
      <c r="B744" t="s">
        <v>187</v>
      </c>
      <c r="C744" s="1">
        <v>43300101</v>
      </c>
      <c r="D744" t="s">
        <v>67</v>
      </c>
      <c r="H744" t="str">
        <f t="shared" si="93"/>
        <v>06978161005</v>
      </c>
      <c r="I744" t="str">
        <f t="shared" si="93"/>
        <v>06978161005</v>
      </c>
      <c r="K744" t="str">
        <f>""</f>
        <v/>
      </c>
      <c r="M744" t="s">
        <v>68</v>
      </c>
      <c r="N744" t="str">
        <f t="shared" si="94"/>
        <v>FOR</v>
      </c>
      <c r="O744" t="s">
        <v>69</v>
      </c>
      <c r="P744" t="s">
        <v>202</v>
      </c>
      <c r="Q744">
        <v>2017</v>
      </c>
      <c r="R744" s="4">
        <v>42783</v>
      </c>
      <c r="S744" s="2">
        <v>42783</v>
      </c>
      <c r="T744" s="2">
        <v>42783</v>
      </c>
      <c r="U744" s="4">
        <v>42843</v>
      </c>
      <c r="V744" t="s">
        <v>71</v>
      </c>
      <c r="W744" t="str">
        <f>"                  28"</f>
        <v xml:space="preserve">                  28</v>
      </c>
      <c r="X744">
        <v>0</v>
      </c>
      <c r="Y744">
        <v>393.9</v>
      </c>
      <c r="Z744" s="5">
        <v>393.9</v>
      </c>
      <c r="AA744" s="3">
        <v>-60</v>
      </c>
      <c r="AB744" s="5">
        <v>-23634</v>
      </c>
      <c r="AC744">
        <v>393.9</v>
      </c>
      <c r="AD744">
        <v>-60</v>
      </c>
      <c r="AE744" s="1">
        <v>-23634</v>
      </c>
      <c r="AF744">
        <v>0</v>
      </c>
      <c r="AJ744">
        <v>393.9</v>
      </c>
      <c r="AK744">
        <v>393.9</v>
      </c>
      <c r="AL744">
        <v>393.9</v>
      </c>
      <c r="AM744">
        <v>393.9</v>
      </c>
      <c r="AN744">
        <v>393.9</v>
      </c>
      <c r="AO744">
        <v>393.9</v>
      </c>
      <c r="AP744" s="2">
        <v>42831</v>
      </c>
      <c r="AQ744" t="s">
        <v>72</v>
      </c>
      <c r="AR744" t="s">
        <v>72</v>
      </c>
      <c r="AS744">
        <v>490</v>
      </c>
      <c r="AT744" s="4">
        <v>42783</v>
      </c>
      <c r="AV744">
        <v>490</v>
      </c>
      <c r="AW744" s="4">
        <v>42783</v>
      </c>
      <c r="BD744">
        <v>0</v>
      </c>
      <c r="BN744" t="s">
        <v>74</v>
      </c>
    </row>
    <row r="745" spans="1:66">
      <c r="A745">
        <v>100906</v>
      </c>
      <c r="B745" t="s">
        <v>187</v>
      </c>
      <c r="C745" s="1">
        <v>43300101</v>
      </c>
      <c r="D745" t="s">
        <v>67</v>
      </c>
      <c r="H745" t="str">
        <f t="shared" si="93"/>
        <v>06978161005</v>
      </c>
      <c r="I745" t="str">
        <f t="shared" si="93"/>
        <v>06978161005</v>
      </c>
      <c r="K745" t="str">
        <f>""</f>
        <v/>
      </c>
      <c r="M745" t="s">
        <v>68</v>
      </c>
      <c r="N745" t="str">
        <f t="shared" si="94"/>
        <v>FOR</v>
      </c>
      <c r="O745" t="s">
        <v>69</v>
      </c>
      <c r="P745" t="s">
        <v>203</v>
      </c>
      <c r="Q745">
        <v>2017</v>
      </c>
      <c r="R745" s="4">
        <v>42811</v>
      </c>
      <c r="S745" s="2">
        <v>42811</v>
      </c>
      <c r="T745" s="2">
        <v>42811</v>
      </c>
      <c r="U745" s="4">
        <v>42871</v>
      </c>
      <c r="V745" t="s">
        <v>71</v>
      </c>
      <c r="W745" t="str">
        <f>"                  47"</f>
        <v xml:space="preserve">                  47</v>
      </c>
      <c r="X745">
        <v>0</v>
      </c>
      <c r="Y745">
        <v>1.22</v>
      </c>
      <c r="Z745" s="5">
        <v>1.22</v>
      </c>
      <c r="AA745" s="3">
        <v>-60</v>
      </c>
      <c r="AB745" s="3">
        <v>-73.2</v>
      </c>
      <c r="AC745">
        <v>1.22</v>
      </c>
      <c r="AD745">
        <v>-60</v>
      </c>
      <c r="AE745">
        <v>-73.2</v>
      </c>
      <c r="AF745">
        <v>0</v>
      </c>
      <c r="AJ745">
        <v>1.22</v>
      </c>
      <c r="AK745">
        <v>1.22</v>
      </c>
      <c r="AL745">
        <v>1.22</v>
      </c>
      <c r="AM745">
        <v>1.22</v>
      </c>
      <c r="AN745">
        <v>1.22</v>
      </c>
      <c r="AO745">
        <v>1.22</v>
      </c>
      <c r="AP745" s="2">
        <v>42831</v>
      </c>
      <c r="AQ745" t="s">
        <v>72</v>
      </c>
      <c r="AR745" t="s">
        <v>72</v>
      </c>
      <c r="AS745">
        <v>791</v>
      </c>
      <c r="AT745" s="4">
        <v>42811</v>
      </c>
      <c r="AV745">
        <v>791</v>
      </c>
      <c r="AW745" s="4">
        <v>42811</v>
      </c>
      <c r="BD745">
        <v>0</v>
      </c>
      <c r="BN745" t="s">
        <v>74</v>
      </c>
    </row>
    <row r="746" spans="1:66">
      <c r="A746">
        <v>100906</v>
      </c>
      <c r="B746" t="s">
        <v>187</v>
      </c>
      <c r="C746" s="1">
        <v>43300101</v>
      </c>
      <c r="D746" t="s">
        <v>67</v>
      </c>
      <c r="H746" t="str">
        <f t="shared" si="93"/>
        <v>06978161005</v>
      </c>
      <c r="I746" t="str">
        <f t="shared" si="93"/>
        <v>06978161005</v>
      </c>
      <c r="K746" t="str">
        <f>""</f>
        <v/>
      </c>
      <c r="M746" t="s">
        <v>68</v>
      </c>
      <c r="N746" t="str">
        <f t="shared" si="94"/>
        <v>FOR</v>
      </c>
      <c r="O746" t="s">
        <v>69</v>
      </c>
      <c r="P746" t="s">
        <v>204</v>
      </c>
      <c r="Q746">
        <v>2017</v>
      </c>
      <c r="R746" s="4">
        <v>42811</v>
      </c>
      <c r="S746" s="2">
        <v>42811</v>
      </c>
      <c r="T746" s="2">
        <v>42811</v>
      </c>
      <c r="U746" s="4">
        <v>42871</v>
      </c>
      <c r="V746" t="s">
        <v>71</v>
      </c>
      <c r="W746" t="str">
        <f>"                  48"</f>
        <v xml:space="preserve">                  48</v>
      </c>
      <c r="X746">
        <v>0</v>
      </c>
      <c r="Y746">
        <v>120.91</v>
      </c>
      <c r="Z746" s="5">
        <v>120.91</v>
      </c>
      <c r="AA746" s="3">
        <v>-60</v>
      </c>
      <c r="AB746" s="5">
        <v>-7254.6</v>
      </c>
      <c r="AC746">
        <v>120.91</v>
      </c>
      <c r="AD746">
        <v>-60</v>
      </c>
      <c r="AE746" s="1">
        <v>-7254.6</v>
      </c>
      <c r="AF746">
        <v>0</v>
      </c>
      <c r="AJ746">
        <v>0</v>
      </c>
      <c r="AK746">
        <v>120.91</v>
      </c>
      <c r="AL746">
        <v>120.91</v>
      </c>
      <c r="AM746">
        <v>0</v>
      </c>
      <c r="AN746">
        <v>120.91</v>
      </c>
      <c r="AO746">
        <v>120.91</v>
      </c>
      <c r="AP746" s="2">
        <v>42831</v>
      </c>
      <c r="AQ746" t="s">
        <v>72</v>
      </c>
      <c r="AR746" t="s">
        <v>72</v>
      </c>
      <c r="AS746">
        <v>791</v>
      </c>
      <c r="AT746" s="4">
        <v>42811</v>
      </c>
      <c r="AV746">
        <v>791</v>
      </c>
      <c r="AW746" s="4">
        <v>42811</v>
      </c>
      <c r="BD746">
        <v>0</v>
      </c>
      <c r="BN746" t="s">
        <v>74</v>
      </c>
    </row>
    <row r="747" spans="1:66">
      <c r="A747">
        <v>100906</v>
      </c>
      <c r="B747" t="s">
        <v>187</v>
      </c>
      <c r="C747" s="1">
        <v>43300101</v>
      </c>
      <c r="D747" t="s">
        <v>67</v>
      </c>
      <c r="H747" t="str">
        <f t="shared" si="93"/>
        <v>06978161005</v>
      </c>
      <c r="I747" t="str">
        <f t="shared" si="93"/>
        <v>06978161005</v>
      </c>
      <c r="K747" t="str">
        <f>""</f>
        <v/>
      </c>
      <c r="M747" t="s">
        <v>68</v>
      </c>
      <c r="N747" t="str">
        <f t="shared" si="94"/>
        <v>FOR</v>
      </c>
      <c r="O747" t="s">
        <v>69</v>
      </c>
      <c r="P747" t="s">
        <v>203</v>
      </c>
      <c r="Q747">
        <v>2017</v>
      </c>
      <c r="R747" s="4">
        <v>42811</v>
      </c>
      <c r="S747" s="2">
        <v>42811</v>
      </c>
      <c r="T747" s="2">
        <v>42811</v>
      </c>
      <c r="U747" s="4">
        <v>42871</v>
      </c>
      <c r="V747" t="s">
        <v>71</v>
      </c>
      <c r="W747" t="str">
        <f>"                  49"</f>
        <v xml:space="preserve">                  49</v>
      </c>
      <c r="X747">
        <v>0</v>
      </c>
      <c r="Y747">
        <v>1.29</v>
      </c>
      <c r="Z747" s="5">
        <v>1.29</v>
      </c>
      <c r="AA747" s="3">
        <v>-60</v>
      </c>
      <c r="AB747" s="3">
        <v>-77.400000000000006</v>
      </c>
      <c r="AC747">
        <v>1.29</v>
      </c>
      <c r="AD747">
        <v>-60</v>
      </c>
      <c r="AE747">
        <v>-77.400000000000006</v>
      </c>
      <c r="AF747">
        <v>0</v>
      </c>
      <c r="AJ747">
        <v>1.29</v>
      </c>
      <c r="AK747">
        <v>1.29</v>
      </c>
      <c r="AL747">
        <v>1.29</v>
      </c>
      <c r="AM747">
        <v>1.29</v>
      </c>
      <c r="AN747">
        <v>1.29</v>
      </c>
      <c r="AO747">
        <v>1.29</v>
      </c>
      <c r="AP747" s="2">
        <v>42831</v>
      </c>
      <c r="AQ747" t="s">
        <v>72</v>
      </c>
      <c r="AR747" t="s">
        <v>72</v>
      </c>
      <c r="AS747">
        <v>791</v>
      </c>
      <c r="AT747" s="4">
        <v>42811</v>
      </c>
      <c r="AV747">
        <v>791</v>
      </c>
      <c r="AW747" s="4">
        <v>42811</v>
      </c>
      <c r="BD747">
        <v>0</v>
      </c>
      <c r="BN747" t="s">
        <v>74</v>
      </c>
    </row>
    <row r="748" spans="1:66">
      <c r="A748">
        <v>100906</v>
      </c>
      <c r="B748" t="s">
        <v>187</v>
      </c>
      <c r="C748" s="1">
        <v>43300101</v>
      </c>
      <c r="D748" t="s">
        <v>67</v>
      </c>
      <c r="H748" t="str">
        <f t="shared" si="93"/>
        <v>06978161005</v>
      </c>
      <c r="I748" t="str">
        <f t="shared" si="93"/>
        <v>06978161005</v>
      </c>
      <c r="K748" t="str">
        <f>""</f>
        <v/>
      </c>
      <c r="M748" t="s">
        <v>68</v>
      </c>
      <c r="N748" t="str">
        <f t="shared" si="94"/>
        <v>FOR</v>
      </c>
      <c r="O748" t="s">
        <v>69</v>
      </c>
      <c r="P748" t="s">
        <v>205</v>
      </c>
      <c r="Q748">
        <v>2017</v>
      </c>
      <c r="R748" s="4">
        <v>42811</v>
      </c>
      <c r="S748" s="2">
        <v>42811</v>
      </c>
      <c r="T748" s="2">
        <v>42811</v>
      </c>
      <c r="U748" s="4">
        <v>42871</v>
      </c>
      <c r="V748" t="s">
        <v>71</v>
      </c>
      <c r="W748" t="str">
        <f>"                  50"</f>
        <v xml:space="preserve">                  50</v>
      </c>
      <c r="X748">
        <v>0</v>
      </c>
      <c r="Y748">
        <v>90</v>
      </c>
      <c r="Z748" s="5">
        <v>90</v>
      </c>
      <c r="AA748" s="3">
        <v>-60</v>
      </c>
      <c r="AB748" s="5">
        <v>-5400</v>
      </c>
      <c r="AC748">
        <v>90</v>
      </c>
      <c r="AD748">
        <v>-60</v>
      </c>
      <c r="AE748" s="1">
        <v>-5400</v>
      </c>
      <c r="AF748">
        <v>0</v>
      </c>
      <c r="AJ748">
        <v>90</v>
      </c>
      <c r="AK748">
        <v>90</v>
      </c>
      <c r="AL748">
        <v>90</v>
      </c>
      <c r="AM748">
        <v>90</v>
      </c>
      <c r="AN748">
        <v>90</v>
      </c>
      <c r="AO748">
        <v>90</v>
      </c>
      <c r="AP748" s="2">
        <v>42831</v>
      </c>
      <c r="AQ748" t="s">
        <v>72</v>
      </c>
      <c r="AR748" t="s">
        <v>72</v>
      </c>
      <c r="AS748">
        <v>792</v>
      </c>
      <c r="AT748" s="4">
        <v>42811</v>
      </c>
      <c r="AV748">
        <v>792</v>
      </c>
      <c r="AW748" s="4">
        <v>42811</v>
      </c>
      <c r="BD748">
        <v>0</v>
      </c>
      <c r="BN748" t="s">
        <v>74</v>
      </c>
    </row>
    <row r="749" spans="1:66">
      <c r="A749">
        <v>100906</v>
      </c>
      <c r="B749" t="s">
        <v>187</v>
      </c>
      <c r="C749" s="1">
        <v>43300101</v>
      </c>
      <c r="D749" t="s">
        <v>67</v>
      </c>
      <c r="H749" t="str">
        <f t="shared" si="93"/>
        <v>06978161005</v>
      </c>
      <c r="I749" t="str">
        <f t="shared" si="93"/>
        <v>06978161005</v>
      </c>
      <c r="K749" t="str">
        <f>""</f>
        <v/>
      </c>
      <c r="M749" t="s">
        <v>68</v>
      </c>
      <c r="N749" t="str">
        <f t="shared" si="94"/>
        <v>FOR</v>
      </c>
      <c r="O749" t="s">
        <v>69</v>
      </c>
      <c r="P749" t="s">
        <v>206</v>
      </c>
      <c r="Q749">
        <v>2017</v>
      </c>
      <c r="R749" s="4">
        <v>42811</v>
      </c>
      <c r="S749" s="2">
        <v>42811</v>
      </c>
      <c r="T749" s="2">
        <v>42811</v>
      </c>
      <c r="U749" s="4">
        <v>42871</v>
      </c>
      <c r="V749" t="s">
        <v>71</v>
      </c>
      <c r="W749" t="str">
        <f>"                  51"</f>
        <v xml:space="preserve">                  51</v>
      </c>
      <c r="X749">
        <v>0</v>
      </c>
      <c r="Y749">
        <v>222.76</v>
      </c>
      <c r="Z749" s="5">
        <v>222.76</v>
      </c>
      <c r="AA749" s="3">
        <v>-60</v>
      </c>
      <c r="AB749" s="5">
        <v>-13365.6</v>
      </c>
      <c r="AC749">
        <v>222.76</v>
      </c>
      <c r="AD749">
        <v>-60</v>
      </c>
      <c r="AE749" s="1">
        <v>-13365.6</v>
      </c>
      <c r="AF749">
        <v>0</v>
      </c>
      <c r="AJ749">
        <v>222.76</v>
      </c>
      <c r="AK749">
        <v>222.76</v>
      </c>
      <c r="AL749">
        <v>222.76</v>
      </c>
      <c r="AM749">
        <v>222.76</v>
      </c>
      <c r="AN749">
        <v>222.76</v>
      </c>
      <c r="AO749">
        <v>222.76</v>
      </c>
      <c r="AP749" s="2">
        <v>42831</v>
      </c>
      <c r="AQ749" t="s">
        <v>72</v>
      </c>
      <c r="AR749" t="s">
        <v>72</v>
      </c>
      <c r="AS749">
        <v>792</v>
      </c>
      <c r="AT749" s="4">
        <v>42811</v>
      </c>
      <c r="AV749">
        <v>792</v>
      </c>
      <c r="AW749" s="4">
        <v>42811</v>
      </c>
      <c r="BD749">
        <v>0</v>
      </c>
      <c r="BN749" t="s">
        <v>74</v>
      </c>
    </row>
    <row r="750" spans="1:66">
      <c r="A750">
        <v>100906</v>
      </c>
      <c r="B750" t="s">
        <v>187</v>
      </c>
      <c r="C750" s="1">
        <v>43300101</v>
      </c>
      <c r="D750" t="s">
        <v>67</v>
      </c>
      <c r="H750" t="str">
        <f t="shared" si="93"/>
        <v>06978161005</v>
      </c>
      <c r="I750" t="str">
        <f t="shared" si="93"/>
        <v>06978161005</v>
      </c>
      <c r="K750" t="str">
        <f>""</f>
        <v/>
      </c>
      <c r="M750" t="s">
        <v>68</v>
      </c>
      <c r="N750" t="str">
        <f t="shared" si="94"/>
        <v>FOR</v>
      </c>
      <c r="O750" t="s">
        <v>69</v>
      </c>
      <c r="P750" t="s">
        <v>207</v>
      </c>
      <c r="Q750">
        <v>2017</v>
      </c>
      <c r="R750" s="4">
        <v>42811</v>
      </c>
      <c r="S750" s="2">
        <v>42811</v>
      </c>
      <c r="T750" s="2">
        <v>42811</v>
      </c>
      <c r="U750" s="4">
        <v>42871</v>
      </c>
      <c r="V750" t="s">
        <v>71</v>
      </c>
      <c r="W750" t="str">
        <f>"                  52"</f>
        <v xml:space="preserve">                  52</v>
      </c>
      <c r="X750">
        <v>0</v>
      </c>
      <c r="Y750">
        <v>468.96</v>
      </c>
      <c r="Z750" s="5">
        <v>468.96</v>
      </c>
      <c r="AA750" s="3">
        <v>-60</v>
      </c>
      <c r="AB750" s="5">
        <v>-28137.599999999999</v>
      </c>
      <c r="AC750">
        <v>468.96</v>
      </c>
      <c r="AD750">
        <v>-60</v>
      </c>
      <c r="AE750" s="1">
        <v>-28137.599999999999</v>
      </c>
      <c r="AF750">
        <v>0</v>
      </c>
      <c r="AJ750">
        <v>468.96</v>
      </c>
      <c r="AK750">
        <v>468.96</v>
      </c>
      <c r="AL750">
        <v>468.96</v>
      </c>
      <c r="AM750">
        <v>468.96</v>
      </c>
      <c r="AN750">
        <v>468.96</v>
      </c>
      <c r="AO750">
        <v>468.96</v>
      </c>
      <c r="AP750" s="2">
        <v>42831</v>
      </c>
      <c r="AQ750" t="s">
        <v>72</v>
      </c>
      <c r="AR750" t="s">
        <v>72</v>
      </c>
      <c r="AS750">
        <v>792</v>
      </c>
      <c r="AT750" s="4">
        <v>42811</v>
      </c>
      <c r="AV750">
        <v>792</v>
      </c>
      <c r="AW750" s="4">
        <v>42811</v>
      </c>
      <c r="BD750">
        <v>0</v>
      </c>
      <c r="BN750" t="s">
        <v>74</v>
      </c>
    </row>
    <row r="751" spans="1:66">
      <c r="A751">
        <v>100906</v>
      </c>
      <c r="B751" t="s">
        <v>187</v>
      </c>
      <c r="C751" s="1">
        <v>43300101</v>
      </c>
      <c r="D751" t="s">
        <v>67</v>
      </c>
      <c r="H751" t="str">
        <f t="shared" si="93"/>
        <v>06978161005</v>
      </c>
      <c r="I751" t="str">
        <f t="shared" si="93"/>
        <v>06978161005</v>
      </c>
      <c r="K751" t="str">
        <f>""</f>
        <v/>
      </c>
      <c r="M751" t="s">
        <v>68</v>
      </c>
      <c r="N751" t="str">
        <f t="shared" si="94"/>
        <v>FOR</v>
      </c>
      <c r="O751" t="s">
        <v>69</v>
      </c>
      <c r="P751" t="s">
        <v>208</v>
      </c>
      <c r="Q751">
        <v>2017</v>
      </c>
      <c r="R751" s="4">
        <v>42811</v>
      </c>
      <c r="S751" s="2">
        <v>42811</v>
      </c>
      <c r="T751" s="2">
        <v>42811</v>
      </c>
      <c r="U751" s="4">
        <v>42871</v>
      </c>
      <c r="V751" t="s">
        <v>71</v>
      </c>
      <c r="W751" t="str">
        <f>"                  53"</f>
        <v xml:space="preserve">                  53</v>
      </c>
      <c r="X751">
        <v>0</v>
      </c>
      <c r="Y751">
        <v>123.27</v>
      </c>
      <c r="Z751" s="5">
        <v>123.27</v>
      </c>
      <c r="AA751" s="3">
        <v>-60</v>
      </c>
      <c r="AB751" s="5">
        <v>-7396.2</v>
      </c>
      <c r="AC751">
        <v>123.27</v>
      </c>
      <c r="AD751">
        <v>-60</v>
      </c>
      <c r="AE751" s="1">
        <v>-7396.2</v>
      </c>
      <c r="AF751">
        <v>0</v>
      </c>
      <c r="AJ751">
        <v>123.27</v>
      </c>
      <c r="AK751">
        <v>123.27</v>
      </c>
      <c r="AL751">
        <v>123.27</v>
      </c>
      <c r="AM751">
        <v>123.27</v>
      </c>
      <c r="AN751">
        <v>123.27</v>
      </c>
      <c r="AO751">
        <v>123.27</v>
      </c>
      <c r="AP751" s="2">
        <v>42831</v>
      </c>
      <c r="AQ751" t="s">
        <v>72</v>
      </c>
      <c r="AR751" t="s">
        <v>72</v>
      </c>
      <c r="AS751">
        <v>793</v>
      </c>
      <c r="AT751" s="4">
        <v>42811</v>
      </c>
      <c r="AV751">
        <v>793</v>
      </c>
      <c r="AW751" s="4">
        <v>42811</v>
      </c>
      <c r="BD751">
        <v>0</v>
      </c>
      <c r="BN751" t="s">
        <v>74</v>
      </c>
    </row>
    <row r="752" spans="1:66">
      <c r="A752">
        <v>100906</v>
      </c>
      <c r="B752" t="s">
        <v>187</v>
      </c>
      <c r="C752" s="1">
        <v>43300101</v>
      </c>
      <c r="D752" t="s">
        <v>67</v>
      </c>
      <c r="H752" t="str">
        <f t="shared" si="93"/>
        <v>06978161005</v>
      </c>
      <c r="I752" t="str">
        <f t="shared" si="93"/>
        <v>06978161005</v>
      </c>
      <c r="K752" t="str">
        <f>""</f>
        <v/>
      </c>
      <c r="M752" t="s">
        <v>68</v>
      </c>
      <c r="N752" t="str">
        <f t="shared" si="94"/>
        <v>FOR</v>
      </c>
      <c r="O752" t="s">
        <v>69</v>
      </c>
      <c r="P752" t="s">
        <v>209</v>
      </c>
      <c r="Q752">
        <v>2017</v>
      </c>
      <c r="R752" s="4">
        <v>42811</v>
      </c>
      <c r="S752" s="2">
        <v>42811</v>
      </c>
      <c r="T752" s="2">
        <v>42811</v>
      </c>
      <c r="U752" s="4">
        <v>42871</v>
      </c>
      <c r="V752" t="s">
        <v>71</v>
      </c>
      <c r="W752" t="str">
        <f>"                  54"</f>
        <v xml:space="preserve">                  54</v>
      </c>
      <c r="X752">
        <v>0</v>
      </c>
      <c r="Y752">
        <v>157.94</v>
      </c>
      <c r="Z752" s="5">
        <v>157.94</v>
      </c>
      <c r="AA752" s="3">
        <v>-60</v>
      </c>
      <c r="AB752" s="5">
        <v>-9476.4</v>
      </c>
      <c r="AC752">
        <v>157.94</v>
      </c>
      <c r="AD752">
        <v>-60</v>
      </c>
      <c r="AE752" s="1">
        <v>-9476.4</v>
      </c>
      <c r="AF752">
        <v>0</v>
      </c>
      <c r="AJ752">
        <v>157.94</v>
      </c>
      <c r="AK752">
        <v>157.94</v>
      </c>
      <c r="AL752">
        <v>157.94</v>
      </c>
      <c r="AM752">
        <v>157.94</v>
      </c>
      <c r="AN752">
        <v>157.94</v>
      </c>
      <c r="AO752">
        <v>157.94</v>
      </c>
      <c r="AP752" s="2">
        <v>42831</v>
      </c>
      <c r="AQ752" t="s">
        <v>72</v>
      </c>
      <c r="AR752" t="s">
        <v>72</v>
      </c>
      <c r="AS752">
        <v>793</v>
      </c>
      <c r="AT752" s="4">
        <v>42811</v>
      </c>
      <c r="AV752">
        <v>793</v>
      </c>
      <c r="AW752" s="4">
        <v>42811</v>
      </c>
      <c r="BD752">
        <v>0</v>
      </c>
      <c r="BN752" t="s">
        <v>74</v>
      </c>
    </row>
    <row r="753" spans="1:66">
      <c r="A753">
        <v>100906</v>
      </c>
      <c r="B753" t="s">
        <v>187</v>
      </c>
      <c r="C753" s="1">
        <v>43300101</v>
      </c>
      <c r="D753" t="s">
        <v>67</v>
      </c>
      <c r="H753" t="str">
        <f t="shared" si="93"/>
        <v>06978161005</v>
      </c>
      <c r="I753" t="str">
        <f t="shared" si="93"/>
        <v>06978161005</v>
      </c>
      <c r="K753" t="str">
        <f>""</f>
        <v/>
      </c>
      <c r="M753" t="s">
        <v>68</v>
      </c>
      <c r="N753" t="str">
        <f t="shared" si="94"/>
        <v>FOR</v>
      </c>
      <c r="O753" t="s">
        <v>69</v>
      </c>
      <c r="P753" t="s">
        <v>210</v>
      </c>
      <c r="Q753">
        <v>2017</v>
      </c>
      <c r="R753" s="4">
        <v>42811</v>
      </c>
      <c r="S753" s="2">
        <v>42811</v>
      </c>
      <c r="T753" s="2">
        <v>42811</v>
      </c>
      <c r="U753" s="4">
        <v>42871</v>
      </c>
      <c r="V753" t="s">
        <v>71</v>
      </c>
      <c r="W753" t="str">
        <f>"                  55"</f>
        <v xml:space="preserve">                  55</v>
      </c>
      <c r="X753">
        <v>0</v>
      </c>
      <c r="Y753" s="1">
        <v>14959.69</v>
      </c>
      <c r="Z753" s="5">
        <v>14959.69</v>
      </c>
      <c r="AA753" s="3">
        <v>-60</v>
      </c>
      <c r="AB753" s="5">
        <v>-897581.4</v>
      </c>
      <c r="AC753" s="1">
        <v>14959.69</v>
      </c>
      <c r="AD753">
        <v>-60</v>
      </c>
      <c r="AE753" s="1">
        <v>-897581.4</v>
      </c>
      <c r="AF753">
        <v>0</v>
      </c>
      <c r="AJ753" s="1">
        <v>14959.69</v>
      </c>
      <c r="AK753" s="1">
        <v>14959.69</v>
      </c>
      <c r="AL753" s="1">
        <v>14959.69</v>
      </c>
      <c r="AM753" s="1">
        <v>14959.69</v>
      </c>
      <c r="AN753" s="1">
        <v>14959.69</v>
      </c>
      <c r="AO753" s="1">
        <v>14959.69</v>
      </c>
      <c r="AP753" s="2">
        <v>42831</v>
      </c>
      <c r="AQ753" t="s">
        <v>72</v>
      </c>
      <c r="AR753" t="s">
        <v>72</v>
      </c>
      <c r="AS753">
        <v>794</v>
      </c>
      <c r="AT753" s="4">
        <v>42811</v>
      </c>
      <c r="AV753">
        <v>794</v>
      </c>
      <c r="AW753" s="4">
        <v>42811</v>
      </c>
      <c r="BD753">
        <v>0</v>
      </c>
      <c r="BN753" t="s">
        <v>74</v>
      </c>
    </row>
    <row r="754" spans="1:66">
      <c r="A754">
        <v>100916</v>
      </c>
      <c r="B754" t="s">
        <v>211</v>
      </c>
      <c r="C754" s="1">
        <v>43300101</v>
      </c>
      <c r="D754" t="s">
        <v>67</v>
      </c>
      <c r="H754" t="str">
        <f t="shared" ref="H754:I759" si="95">"06117251212"</f>
        <v>06117251212</v>
      </c>
      <c r="I754" t="str">
        <f t="shared" si="95"/>
        <v>06117251212</v>
      </c>
      <c r="K754" t="str">
        <f>""</f>
        <v/>
      </c>
      <c r="M754" t="s">
        <v>68</v>
      </c>
      <c r="N754" t="str">
        <f t="shared" si="94"/>
        <v>FOR</v>
      </c>
      <c r="O754" t="s">
        <v>69</v>
      </c>
      <c r="P754" t="s">
        <v>75</v>
      </c>
      <c r="Q754">
        <v>2016</v>
      </c>
      <c r="R754" s="4">
        <v>42443</v>
      </c>
      <c r="S754" s="2">
        <v>42471</v>
      </c>
      <c r="T754" s="2">
        <v>42451</v>
      </c>
      <c r="U754" s="4">
        <v>42511</v>
      </c>
      <c r="V754" t="s">
        <v>71</v>
      </c>
      <c r="W754" t="str">
        <f>"          000024/0C0"</f>
        <v xml:space="preserve">          000024/0C0</v>
      </c>
      <c r="X754">
        <v>385.52</v>
      </c>
      <c r="Y754">
        <v>0</v>
      </c>
      <c r="Z754" s="5">
        <v>316</v>
      </c>
      <c r="AA754" s="3">
        <v>263</v>
      </c>
      <c r="AB754" s="5">
        <v>83108</v>
      </c>
      <c r="AC754">
        <v>316</v>
      </c>
      <c r="AD754">
        <v>263</v>
      </c>
      <c r="AE754" s="1">
        <v>83108</v>
      </c>
      <c r="AF754">
        <v>0</v>
      </c>
      <c r="AJ754">
        <v>0</v>
      </c>
      <c r="AK754">
        <v>0</v>
      </c>
      <c r="AL754">
        <v>0</v>
      </c>
      <c r="AM754">
        <v>0</v>
      </c>
      <c r="AN754">
        <v>0</v>
      </c>
      <c r="AO754">
        <v>0</v>
      </c>
      <c r="AP754" s="2">
        <v>42831</v>
      </c>
      <c r="AQ754" t="s">
        <v>72</v>
      </c>
      <c r="AR754" t="s">
        <v>72</v>
      </c>
      <c r="AS754">
        <v>343</v>
      </c>
      <c r="AT754" s="4">
        <v>42774</v>
      </c>
      <c r="AU754" t="s">
        <v>73</v>
      </c>
      <c r="AV754">
        <v>343</v>
      </c>
      <c r="AW754" s="4">
        <v>42774</v>
      </c>
      <c r="BD754">
        <v>0</v>
      </c>
      <c r="BN754" t="s">
        <v>74</v>
      </c>
    </row>
    <row r="755" spans="1:66">
      <c r="A755">
        <v>100916</v>
      </c>
      <c r="B755" t="s">
        <v>211</v>
      </c>
      <c r="C755" s="1">
        <v>43300101</v>
      </c>
      <c r="D755" t="s">
        <v>67</v>
      </c>
      <c r="H755" t="str">
        <f t="shared" si="95"/>
        <v>06117251212</v>
      </c>
      <c r="I755" t="str">
        <f t="shared" si="95"/>
        <v>06117251212</v>
      </c>
      <c r="K755" t="str">
        <f>""</f>
        <v/>
      </c>
      <c r="M755" t="s">
        <v>68</v>
      </c>
      <c r="N755" t="str">
        <f t="shared" si="94"/>
        <v>FOR</v>
      </c>
      <c r="O755" t="s">
        <v>69</v>
      </c>
      <c r="P755" t="s">
        <v>75</v>
      </c>
      <c r="Q755">
        <v>2016</v>
      </c>
      <c r="R755" s="4">
        <v>42450</v>
      </c>
      <c r="S755" s="2">
        <v>42457</v>
      </c>
      <c r="T755" s="2">
        <v>42454</v>
      </c>
      <c r="U755" s="4">
        <v>42514</v>
      </c>
      <c r="V755" t="s">
        <v>71</v>
      </c>
      <c r="W755" t="str">
        <f>"          000027/0C0"</f>
        <v xml:space="preserve">          000027/0C0</v>
      </c>
      <c r="X755" s="1">
        <v>36600</v>
      </c>
      <c r="Y755">
        <v>0</v>
      </c>
      <c r="Z755" s="5">
        <v>30000</v>
      </c>
      <c r="AA755" s="3">
        <v>260</v>
      </c>
      <c r="AB755" s="5">
        <v>7800000</v>
      </c>
      <c r="AC755" s="1">
        <v>30000</v>
      </c>
      <c r="AD755">
        <v>260</v>
      </c>
      <c r="AE755" s="1">
        <v>7800000</v>
      </c>
      <c r="AF755">
        <v>0</v>
      </c>
      <c r="AJ755">
        <v>0</v>
      </c>
      <c r="AK755">
        <v>0</v>
      </c>
      <c r="AL755">
        <v>0</v>
      </c>
      <c r="AM755">
        <v>0</v>
      </c>
      <c r="AN755">
        <v>0</v>
      </c>
      <c r="AO755">
        <v>0</v>
      </c>
      <c r="AP755" s="2">
        <v>42831</v>
      </c>
      <c r="AQ755" t="s">
        <v>72</v>
      </c>
      <c r="AR755" t="s">
        <v>72</v>
      </c>
      <c r="AS755">
        <v>343</v>
      </c>
      <c r="AT755" s="4">
        <v>42774</v>
      </c>
      <c r="AU755" t="s">
        <v>73</v>
      </c>
      <c r="AV755">
        <v>343</v>
      </c>
      <c r="AW755" s="4">
        <v>42774</v>
      </c>
      <c r="BD755">
        <v>0</v>
      </c>
      <c r="BN755" t="s">
        <v>74</v>
      </c>
    </row>
    <row r="756" spans="1:66">
      <c r="A756">
        <v>100916</v>
      </c>
      <c r="B756" t="s">
        <v>211</v>
      </c>
      <c r="C756" s="1">
        <v>43300101</v>
      </c>
      <c r="D756" t="s">
        <v>67</v>
      </c>
      <c r="H756" t="str">
        <f t="shared" si="95"/>
        <v>06117251212</v>
      </c>
      <c r="I756" t="str">
        <f t="shared" si="95"/>
        <v>06117251212</v>
      </c>
      <c r="K756" t="str">
        <f>""</f>
        <v/>
      </c>
      <c r="M756" t="s">
        <v>68</v>
      </c>
      <c r="N756" t="str">
        <f t="shared" si="94"/>
        <v>FOR</v>
      </c>
      <c r="O756" t="s">
        <v>69</v>
      </c>
      <c r="P756" t="s">
        <v>75</v>
      </c>
      <c r="Q756">
        <v>2016</v>
      </c>
      <c r="R756" s="4">
        <v>42465</v>
      </c>
      <c r="S756" s="2">
        <v>42481</v>
      </c>
      <c r="T756" s="2">
        <v>42478</v>
      </c>
      <c r="U756" s="4">
        <v>42538</v>
      </c>
      <c r="V756" t="s">
        <v>71</v>
      </c>
      <c r="W756" t="str">
        <f>"          000029/0C0"</f>
        <v xml:space="preserve">          000029/0C0</v>
      </c>
      <c r="X756" s="1">
        <v>19396</v>
      </c>
      <c r="Y756">
        <v>0</v>
      </c>
      <c r="Z756" s="5">
        <v>18650</v>
      </c>
      <c r="AA756" s="3">
        <v>244</v>
      </c>
      <c r="AB756" s="5">
        <v>4550600</v>
      </c>
      <c r="AC756" s="1">
        <v>18650</v>
      </c>
      <c r="AD756">
        <v>244</v>
      </c>
      <c r="AE756" s="1">
        <v>4550600</v>
      </c>
      <c r="AF756">
        <v>0</v>
      </c>
      <c r="AJ756">
        <v>0</v>
      </c>
      <c r="AK756">
        <v>0</v>
      </c>
      <c r="AL756">
        <v>0</v>
      </c>
      <c r="AM756">
        <v>0</v>
      </c>
      <c r="AN756">
        <v>0</v>
      </c>
      <c r="AO756">
        <v>0</v>
      </c>
      <c r="AP756" s="2">
        <v>42831</v>
      </c>
      <c r="AQ756" t="s">
        <v>72</v>
      </c>
      <c r="AR756" t="s">
        <v>72</v>
      </c>
      <c r="AS756">
        <v>468</v>
      </c>
      <c r="AT756" s="4">
        <v>42782</v>
      </c>
      <c r="AU756" t="s">
        <v>73</v>
      </c>
      <c r="AV756">
        <v>468</v>
      </c>
      <c r="AW756" s="4">
        <v>42782</v>
      </c>
      <c r="BD756">
        <v>0</v>
      </c>
      <c r="BN756" t="s">
        <v>74</v>
      </c>
    </row>
    <row r="757" spans="1:66">
      <c r="A757">
        <v>100916</v>
      </c>
      <c r="B757" t="s">
        <v>211</v>
      </c>
      <c r="C757" s="1">
        <v>43300101</v>
      </c>
      <c r="D757" t="s">
        <v>67</v>
      </c>
      <c r="H757" t="str">
        <f t="shared" si="95"/>
        <v>06117251212</v>
      </c>
      <c r="I757" t="str">
        <f t="shared" si="95"/>
        <v>06117251212</v>
      </c>
      <c r="K757" t="str">
        <f>""</f>
        <v/>
      </c>
      <c r="M757" t="s">
        <v>68</v>
      </c>
      <c r="N757" t="str">
        <f t="shared" si="94"/>
        <v>FOR</v>
      </c>
      <c r="O757" t="s">
        <v>69</v>
      </c>
      <c r="P757" t="s">
        <v>75</v>
      </c>
      <c r="Q757">
        <v>2016</v>
      </c>
      <c r="R757" s="4">
        <v>42473</v>
      </c>
      <c r="S757" s="2">
        <v>42481</v>
      </c>
      <c r="T757" s="2">
        <v>42478</v>
      </c>
      <c r="U757" s="4">
        <v>42538</v>
      </c>
      <c r="V757" t="s">
        <v>71</v>
      </c>
      <c r="W757" t="str">
        <f>"          000035/0C0"</f>
        <v xml:space="preserve">          000035/0C0</v>
      </c>
      <c r="X757" s="1">
        <v>36600</v>
      </c>
      <c r="Y757">
        <v>0</v>
      </c>
      <c r="Z757" s="5">
        <v>30000</v>
      </c>
      <c r="AA757" s="3">
        <v>244</v>
      </c>
      <c r="AB757" s="5">
        <v>7320000</v>
      </c>
      <c r="AC757" s="1">
        <v>30000</v>
      </c>
      <c r="AD757">
        <v>244</v>
      </c>
      <c r="AE757" s="1">
        <v>7320000</v>
      </c>
      <c r="AF757">
        <v>0</v>
      </c>
      <c r="AJ757">
        <v>0</v>
      </c>
      <c r="AK757">
        <v>0</v>
      </c>
      <c r="AL757">
        <v>0</v>
      </c>
      <c r="AM757">
        <v>0</v>
      </c>
      <c r="AN757">
        <v>0</v>
      </c>
      <c r="AO757">
        <v>0</v>
      </c>
      <c r="AP757" s="2">
        <v>42831</v>
      </c>
      <c r="AQ757" t="s">
        <v>72</v>
      </c>
      <c r="AR757" t="s">
        <v>72</v>
      </c>
      <c r="AS757">
        <v>468</v>
      </c>
      <c r="AT757" s="4">
        <v>42782</v>
      </c>
      <c r="AU757" t="s">
        <v>73</v>
      </c>
      <c r="AV757">
        <v>468</v>
      </c>
      <c r="AW757" s="4">
        <v>42782</v>
      </c>
      <c r="BD757">
        <v>0</v>
      </c>
      <c r="BN757" t="s">
        <v>74</v>
      </c>
    </row>
    <row r="758" spans="1:66">
      <c r="A758">
        <v>100916</v>
      </c>
      <c r="B758" t="s">
        <v>211</v>
      </c>
      <c r="C758" s="1">
        <v>43300101</v>
      </c>
      <c r="D758" t="s">
        <v>67</v>
      </c>
      <c r="H758" t="str">
        <f t="shared" si="95"/>
        <v>06117251212</v>
      </c>
      <c r="I758" t="str">
        <f t="shared" si="95"/>
        <v>06117251212</v>
      </c>
      <c r="K758" t="str">
        <f>""</f>
        <v/>
      </c>
      <c r="M758" t="s">
        <v>68</v>
      </c>
      <c r="N758" t="str">
        <f t="shared" si="94"/>
        <v>FOR</v>
      </c>
      <c r="O758" t="s">
        <v>69</v>
      </c>
      <c r="P758" t="s">
        <v>75</v>
      </c>
      <c r="Q758">
        <v>2016</v>
      </c>
      <c r="R758" s="4">
        <v>42494</v>
      </c>
      <c r="S758" s="2">
        <v>42501</v>
      </c>
      <c r="T758" s="2">
        <v>42500</v>
      </c>
      <c r="U758" s="4">
        <v>42560</v>
      </c>
      <c r="V758" t="s">
        <v>71</v>
      </c>
      <c r="W758" t="str">
        <f>"          000042/0C0"</f>
        <v xml:space="preserve">          000042/0C0</v>
      </c>
      <c r="X758" s="1">
        <v>10275.200000000001</v>
      </c>
      <c r="Y758">
        <v>0</v>
      </c>
      <c r="Z758" s="5">
        <v>9880</v>
      </c>
      <c r="AA758" s="3">
        <v>235</v>
      </c>
      <c r="AB758" s="5">
        <v>2321800</v>
      </c>
      <c r="AC758" s="1">
        <v>9880</v>
      </c>
      <c r="AD758">
        <v>235</v>
      </c>
      <c r="AE758" s="1">
        <v>2321800</v>
      </c>
      <c r="AF758">
        <v>395.2</v>
      </c>
      <c r="AJ758">
        <v>0</v>
      </c>
      <c r="AK758">
        <v>0</v>
      </c>
      <c r="AL758">
        <v>0</v>
      </c>
      <c r="AM758">
        <v>0</v>
      </c>
      <c r="AN758">
        <v>0</v>
      </c>
      <c r="AO758">
        <v>0</v>
      </c>
      <c r="AP758" s="2">
        <v>42831</v>
      </c>
      <c r="AQ758" t="s">
        <v>72</v>
      </c>
      <c r="AR758" t="s">
        <v>72</v>
      </c>
      <c r="AS758">
        <v>647</v>
      </c>
      <c r="AT758" s="4">
        <v>42795</v>
      </c>
      <c r="AU758" t="s">
        <v>73</v>
      </c>
      <c r="AV758">
        <v>647</v>
      </c>
      <c r="AW758" s="4">
        <v>42795</v>
      </c>
      <c r="BD758">
        <v>395.2</v>
      </c>
      <c r="BN758" t="s">
        <v>74</v>
      </c>
    </row>
    <row r="759" spans="1:66">
      <c r="A759">
        <v>100916</v>
      </c>
      <c r="B759" t="s">
        <v>211</v>
      </c>
      <c r="C759" s="1">
        <v>43300101</v>
      </c>
      <c r="D759" t="s">
        <v>67</v>
      </c>
      <c r="H759" t="str">
        <f t="shared" si="95"/>
        <v>06117251212</v>
      </c>
      <c r="I759" t="str">
        <f t="shared" si="95"/>
        <v>06117251212</v>
      </c>
      <c r="K759" t="str">
        <f>""</f>
        <v/>
      </c>
      <c r="M759" t="s">
        <v>68</v>
      </c>
      <c r="N759" t="str">
        <f t="shared" si="94"/>
        <v>FOR</v>
      </c>
      <c r="O759" t="s">
        <v>69</v>
      </c>
      <c r="P759" t="s">
        <v>75</v>
      </c>
      <c r="Q759">
        <v>2016</v>
      </c>
      <c r="R759" s="4">
        <v>42509</v>
      </c>
      <c r="S759" s="2">
        <v>42516</v>
      </c>
      <c r="T759" s="2">
        <v>42515</v>
      </c>
      <c r="U759" s="4">
        <v>42575</v>
      </c>
      <c r="V759" t="s">
        <v>71</v>
      </c>
      <c r="W759" t="str">
        <f>"          000052/0C0"</f>
        <v xml:space="preserve">          000052/0C0</v>
      </c>
      <c r="X759" s="1">
        <v>36600</v>
      </c>
      <c r="Y759">
        <v>0</v>
      </c>
      <c r="Z759" s="5">
        <v>30000</v>
      </c>
      <c r="AA759" s="3">
        <v>220</v>
      </c>
      <c r="AB759" s="5">
        <v>6600000</v>
      </c>
      <c r="AC759" s="1">
        <v>30000</v>
      </c>
      <c r="AD759">
        <v>220</v>
      </c>
      <c r="AE759" s="1">
        <v>6600000</v>
      </c>
      <c r="AF759" s="1">
        <v>6600</v>
      </c>
      <c r="AJ759">
        <v>0</v>
      </c>
      <c r="AK759">
        <v>0</v>
      </c>
      <c r="AL759">
        <v>0</v>
      </c>
      <c r="AM759">
        <v>0</v>
      </c>
      <c r="AN759">
        <v>0</v>
      </c>
      <c r="AO759">
        <v>0</v>
      </c>
      <c r="AP759" s="2">
        <v>42831</v>
      </c>
      <c r="AQ759" t="s">
        <v>72</v>
      </c>
      <c r="AR759" t="s">
        <v>72</v>
      </c>
      <c r="AS759">
        <v>647</v>
      </c>
      <c r="AT759" s="4">
        <v>42795</v>
      </c>
      <c r="AU759" t="s">
        <v>73</v>
      </c>
      <c r="AV759">
        <v>647</v>
      </c>
      <c r="AW759" s="4">
        <v>42795</v>
      </c>
      <c r="BD759" s="1">
        <v>6600</v>
      </c>
      <c r="BN759" t="s">
        <v>74</v>
      </c>
    </row>
    <row r="760" spans="1:66">
      <c r="A760">
        <v>100917</v>
      </c>
      <c r="B760" t="s">
        <v>212</v>
      </c>
      <c r="C760" s="1">
        <v>43300101</v>
      </c>
      <c r="D760" t="s">
        <v>67</v>
      </c>
      <c r="H760" t="str">
        <f>"12400990151"</f>
        <v>12400990151</v>
      </c>
      <c r="I760" t="str">
        <f>"12400990151"</f>
        <v>12400990151</v>
      </c>
      <c r="K760" t="str">
        <f>""</f>
        <v/>
      </c>
      <c r="M760" t="s">
        <v>68</v>
      </c>
      <c r="N760" t="str">
        <f t="shared" si="94"/>
        <v>FOR</v>
      </c>
      <c r="O760" t="s">
        <v>69</v>
      </c>
      <c r="P760" t="s">
        <v>75</v>
      </c>
      <c r="Q760">
        <v>2015</v>
      </c>
      <c r="R760" s="4">
        <v>42137</v>
      </c>
      <c r="S760" s="2">
        <v>42164</v>
      </c>
      <c r="T760" s="2">
        <v>42160</v>
      </c>
      <c r="U760" s="4">
        <v>42220</v>
      </c>
      <c r="V760" t="s">
        <v>71</v>
      </c>
      <c r="W760" t="str">
        <f>"           201550222"</f>
        <v xml:space="preserve">           201550222</v>
      </c>
      <c r="X760" s="1">
        <v>3965</v>
      </c>
      <c r="Y760">
        <v>0</v>
      </c>
      <c r="Z760" s="5">
        <v>3250</v>
      </c>
      <c r="AA760" s="3">
        <v>548</v>
      </c>
      <c r="AB760" s="5">
        <v>1781000</v>
      </c>
      <c r="AC760" s="1">
        <v>3250</v>
      </c>
      <c r="AD760">
        <v>548</v>
      </c>
      <c r="AE760" s="1">
        <v>1781000</v>
      </c>
      <c r="AF760">
        <v>0</v>
      </c>
      <c r="AJ760">
        <v>0</v>
      </c>
      <c r="AK760">
        <v>0</v>
      </c>
      <c r="AL760">
        <v>0</v>
      </c>
      <c r="AM760">
        <v>0</v>
      </c>
      <c r="AN760">
        <v>0</v>
      </c>
      <c r="AO760">
        <v>0</v>
      </c>
      <c r="AP760" s="2">
        <v>42831</v>
      </c>
      <c r="AQ760" t="s">
        <v>72</v>
      </c>
      <c r="AR760" t="s">
        <v>72</v>
      </c>
      <c r="AS760">
        <v>233</v>
      </c>
      <c r="AT760" s="4">
        <v>42768</v>
      </c>
      <c r="AU760" t="s">
        <v>73</v>
      </c>
      <c r="AV760">
        <v>233</v>
      </c>
      <c r="AW760" s="4">
        <v>42768</v>
      </c>
      <c r="BD760">
        <v>0</v>
      </c>
      <c r="BN760" t="s">
        <v>74</v>
      </c>
    </row>
    <row r="761" spans="1:66">
      <c r="A761">
        <v>100930</v>
      </c>
      <c r="B761" t="s">
        <v>213</v>
      </c>
      <c r="C761" s="1">
        <v>43300101</v>
      </c>
      <c r="D761" t="s">
        <v>67</v>
      </c>
      <c r="H761" t="str">
        <f t="shared" ref="H761:I768" si="96">"06111530637"</f>
        <v>06111530637</v>
      </c>
      <c r="I761" t="str">
        <f t="shared" si="96"/>
        <v>06111530637</v>
      </c>
      <c r="K761" t="str">
        <f>""</f>
        <v/>
      </c>
      <c r="M761" t="s">
        <v>68</v>
      </c>
      <c r="N761" t="str">
        <f t="shared" si="94"/>
        <v>FOR</v>
      </c>
      <c r="O761" t="s">
        <v>69</v>
      </c>
      <c r="P761" t="s">
        <v>75</v>
      </c>
      <c r="Q761">
        <v>2016</v>
      </c>
      <c r="R761" s="4">
        <v>42444</v>
      </c>
      <c r="S761" s="2">
        <v>42454</v>
      </c>
      <c r="T761" s="2">
        <v>42454</v>
      </c>
      <c r="U761" s="4">
        <v>42514</v>
      </c>
      <c r="V761" t="s">
        <v>71</v>
      </c>
      <c r="W761" t="str">
        <f>"              809/PA"</f>
        <v xml:space="preserve">              809/PA</v>
      </c>
      <c r="X761">
        <v>341.6</v>
      </c>
      <c r="Y761">
        <v>0</v>
      </c>
      <c r="Z761" s="5">
        <v>280</v>
      </c>
      <c r="AA761" s="3">
        <v>252</v>
      </c>
      <c r="AB761" s="5">
        <v>70560</v>
      </c>
      <c r="AC761">
        <v>280</v>
      </c>
      <c r="AD761">
        <v>252</v>
      </c>
      <c r="AE761" s="1">
        <v>70560</v>
      </c>
      <c r="AF761">
        <v>0</v>
      </c>
      <c r="AJ761">
        <v>0</v>
      </c>
      <c r="AK761">
        <v>0</v>
      </c>
      <c r="AL761">
        <v>0</v>
      </c>
      <c r="AM761">
        <v>0</v>
      </c>
      <c r="AN761">
        <v>0</v>
      </c>
      <c r="AO761">
        <v>0</v>
      </c>
      <c r="AP761" s="2">
        <v>42831</v>
      </c>
      <c r="AQ761" t="s">
        <v>72</v>
      </c>
      <c r="AR761" t="s">
        <v>72</v>
      </c>
      <c r="AS761">
        <v>182</v>
      </c>
      <c r="AT761" s="4">
        <v>42766</v>
      </c>
      <c r="AU761" t="s">
        <v>73</v>
      </c>
      <c r="AV761">
        <v>182</v>
      </c>
      <c r="AW761" s="4">
        <v>42766</v>
      </c>
      <c r="BD761">
        <v>0</v>
      </c>
      <c r="BN761" t="s">
        <v>74</v>
      </c>
    </row>
    <row r="762" spans="1:66">
      <c r="A762">
        <v>100930</v>
      </c>
      <c r="B762" t="s">
        <v>213</v>
      </c>
      <c r="C762" s="1">
        <v>43300101</v>
      </c>
      <c r="D762" t="s">
        <v>67</v>
      </c>
      <c r="H762" t="str">
        <f t="shared" si="96"/>
        <v>06111530637</v>
      </c>
      <c r="I762" t="str">
        <f t="shared" si="96"/>
        <v>06111530637</v>
      </c>
      <c r="K762" t="str">
        <f>""</f>
        <v/>
      </c>
      <c r="M762" t="s">
        <v>68</v>
      </c>
      <c r="N762" t="str">
        <f t="shared" si="94"/>
        <v>FOR</v>
      </c>
      <c r="O762" t="s">
        <v>69</v>
      </c>
      <c r="P762" t="s">
        <v>75</v>
      </c>
      <c r="Q762">
        <v>2016</v>
      </c>
      <c r="R762" s="4">
        <v>42514</v>
      </c>
      <c r="S762" s="2">
        <v>42516</v>
      </c>
      <c r="T762" s="2">
        <v>42515</v>
      </c>
      <c r="U762" s="4">
        <v>42575</v>
      </c>
      <c r="V762" t="s">
        <v>71</v>
      </c>
      <c r="W762" t="str">
        <f>"             1975/PA"</f>
        <v xml:space="preserve">             1975/PA</v>
      </c>
      <c r="X762">
        <v>341.6</v>
      </c>
      <c r="Y762">
        <v>0</v>
      </c>
      <c r="Z762" s="5">
        <v>280</v>
      </c>
      <c r="AA762" s="3">
        <v>191</v>
      </c>
      <c r="AB762" s="5">
        <v>53480</v>
      </c>
      <c r="AC762">
        <v>280</v>
      </c>
      <c r="AD762">
        <v>191</v>
      </c>
      <c r="AE762" s="1">
        <v>53480</v>
      </c>
      <c r="AF762">
        <v>0</v>
      </c>
      <c r="AJ762">
        <v>0</v>
      </c>
      <c r="AK762">
        <v>0</v>
      </c>
      <c r="AL762">
        <v>0</v>
      </c>
      <c r="AM762">
        <v>0</v>
      </c>
      <c r="AN762">
        <v>0</v>
      </c>
      <c r="AO762">
        <v>0</v>
      </c>
      <c r="AP762" s="2">
        <v>42831</v>
      </c>
      <c r="AQ762" t="s">
        <v>72</v>
      </c>
      <c r="AR762" t="s">
        <v>72</v>
      </c>
      <c r="AS762">
        <v>182</v>
      </c>
      <c r="AT762" s="4">
        <v>42766</v>
      </c>
      <c r="AU762" t="s">
        <v>73</v>
      </c>
      <c r="AV762">
        <v>182</v>
      </c>
      <c r="AW762" s="4">
        <v>42766</v>
      </c>
      <c r="BD762">
        <v>0</v>
      </c>
      <c r="BN762" t="s">
        <v>74</v>
      </c>
    </row>
    <row r="763" spans="1:66">
      <c r="A763">
        <v>100930</v>
      </c>
      <c r="B763" t="s">
        <v>213</v>
      </c>
      <c r="C763" s="1">
        <v>43300101</v>
      </c>
      <c r="D763" t="s">
        <v>67</v>
      </c>
      <c r="H763" t="str">
        <f t="shared" si="96"/>
        <v>06111530637</v>
      </c>
      <c r="I763" t="str">
        <f t="shared" si="96"/>
        <v>06111530637</v>
      </c>
      <c r="K763" t="str">
        <f>""</f>
        <v/>
      </c>
      <c r="M763" t="s">
        <v>68</v>
      </c>
      <c r="N763" t="str">
        <f t="shared" si="94"/>
        <v>FOR</v>
      </c>
      <c r="O763" t="s">
        <v>69</v>
      </c>
      <c r="P763" t="s">
        <v>75</v>
      </c>
      <c r="Q763">
        <v>2016</v>
      </c>
      <c r="R763" s="4">
        <v>42514</v>
      </c>
      <c r="S763" s="2">
        <v>42516</v>
      </c>
      <c r="T763" s="2">
        <v>42516</v>
      </c>
      <c r="U763" s="4">
        <v>42576</v>
      </c>
      <c r="V763" t="s">
        <v>71</v>
      </c>
      <c r="W763" t="str">
        <f>"             1976/PA"</f>
        <v xml:space="preserve">             1976/PA</v>
      </c>
      <c r="X763">
        <v>341.6</v>
      </c>
      <c r="Y763">
        <v>0</v>
      </c>
      <c r="Z763" s="5">
        <v>280</v>
      </c>
      <c r="AA763" s="3">
        <v>190</v>
      </c>
      <c r="AB763" s="5">
        <v>53200</v>
      </c>
      <c r="AC763">
        <v>280</v>
      </c>
      <c r="AD763">
        <v>190</v>
      </c>
      <c r="AE763" s="1">
        <v>53200</v>
      </c>
      <c r="AF763">
        <v>0</v>
      </c>
      <c r="AJ763">
        <v>0</v>
      </c>
      <c r="AK763">
        <v>0</v>
      </c>
      <c r="AL763">
        <v>0</v>
      </c>
      <c r="AM763">
        <v>0</v>
      </c>
      <c r="AN763">
        <v>0</v>
      </c>
      <c r="AO763">
        <v>0</v>
      </c>
      <c r="AP763" s="2">
        <v>42831</v>
      </c>
      <c r="AQ763" t="s">
        <v>72</v>
      </c>
      <c r="AR763" t="s">
        <v>72</v>
      </c>
      <c r="AS763">
        <v>182</v>
      </c>
      <c r="AT763" s="4">
        <v>42766</v>
      </c>
      <c r="AU763" t="s">
        <v>73</v>
      </c>
      <c r="AV763">
        <v>182</v>
      </c>
      <c r="AW763" s="4">
        <v>42766</v>
      </c>
      <c r="BD763">
        <v>0</v>
      </c>
      <c r="BN763" t="s">
        <v>74</v>
      </c>
    </row>
    <row r="764" spans="1:66">
      <c r="A764">
        <v>100930</v>
      </c>
      <c r="B764" t="s">
        <v>213</v>
      </c>
      <c r="C764" s="1">
        <v>43300101</v>
      </c>
      <c r="D764" t="s">
        <v>67</v>
      </c>
      <c r="H764" t="str">
        <f t="shared" si="96"/>
        <v>06111530637</v>
      </c>
      <c r="I764" t="str">
        <f t="shared" si="96"/>
        <v>06111530637</v>
      </c>
      <c r="K764" t="str">
        <f>""</f>
        <v/>
      </c>
      <c r="M764" t="s">
        <v>68</v>
      </c>
      <c r="N764" t="str">
        <f t="shared" si="94"/>
        <v>FOR</v>
      </c>
      <c r="O764" t="s">
        <v>69</v>
      </c>
      <c r="P764" t="s">
        <v>75</v>
      </c>
      <c r="Q764">
        <v>2016</v>
      </c>
      <c r="R764" s="4">
        <v>42514</v>
      </c>
      <c r="S764" s="2">
        <v>42516</v>
      </c>
      <c r="T764" s="2">
        <v>42516</v>
      </c>
      <c r="U764" s="4">
        <v>42576</v>
      </c>
      <c r="V764" t="s">
        <v>71</v>
      </c>
      <c r="W764" t="str">
        <f>"             1977/PA"</f>
        <v xml:space="preserve">             1977/PA</v>
      </c>
      <c r="X764">
        <v>85.4</v>
      </c>
      <c r="Y764">
        <v>0</v>
      </c>
      <c r="Z764" s="5">
        <v>70</v>
      </c>
      <c r="AA764" s="3">
        <v>217</v>
      </c>
      <c r="AB764" s="5">
        <v>15190</v>
      </c>
      <c r="AC764">
        <v>70</v>
      </c>
      <c r="AD764">
        <v>217</v>
      </c>
      <c r="AE764" s="1">
        <v>15190</v>
      </c>
      <c r="AF764">
        <v>0</v>
      </c>
      <c r="AJ764">
        <v>0</v>
      </c>
      <c r="AK764">
        <v>0</v>
      </c>
      <c r="AL764">
        <v>0</v>
      </c>
      <c r="AM764">
        <v>0</v>
      </c>
      <c r="AN764">
        <v>0</v>
      </c>
      <c r="AO764">
        <v>0</v>
      </c>
      <c r="AP764" s="2">
        <v>42831</v>
      </c>
      <c r="AQ764" t="s">
        <v>72</v>
      </c>
      <c r="AR764" t="s">
        <v>72</v>
      </c>
      <c r="AS764">
        <v>609</v>
      </c>
      <c r="AT764" s="4">
        <v>42793</v>
      </c>
      <c r="AU764" t="s">
        <v>73</v>
      </c>
      <c r="AV764">
        <v>609</v>
      </c>
      <c r="AW764" s="4">
        <v>42793</v>
      </c>
      <c r="BD764">
        <v>0</v>
      </c>
      <c r="BN764" t="s">
        <v>74</v>
      </c>
    </row>
    <row r="765" spans="1:66">
      <c r="A765">
        <v>100930</v>
      </c>
      <c r="B765" t="s">
        <v>213</v>
      </c>
      <c r="C765" s="1">
        <v>43300101</v>
      </c>
      <c r="D765" t="s">
        <v>67</v>
      </c>
      <c r="H765" t="str">
        <f t="shared" si="96"/>
        <v>06111530637</v>
      </c>
      <c r="I765" t="str">
        <f t="shared" si="96"/>
        <v>06111530637</v>
      </c>
      <c r="K765" t="str">
        <f>""</f>
        <v/>
      </c>
      <c r="M765" t="s">
        <v>68</v>
      </c>
      <c r="N765" t="str">
        <f t="shared" si="94"/>
        <v>FOR</v>
      </c>
      <c r="O765" t="s">
        <v>69</v>
      </c>
      <c r="P765" t="s">
        <v>75</v>
      </c>
      <c r="Q765">
        <v>2016</v>
      </c>
      <c r="R765" s="4">
        <v>42564</v>
      </c>
      <c r="S765" s="2">
        <v>42577</v>
      </c>
      <c r="T765" s="2">
        <v>42571</v>
      </c>
      <c r="U765" s="4">
        <v>42631</v>
      </c>
      <c r="V765" t="s">
        <v>71</v>
      </c>
      <c r="W765" t="str">
        <f>"             2707/PA"</f>
        <v xml:space="preserve">             2707/PA</v>
      </c>
      <c r="X765">
        <v>341.6</v>
      </c>
      <c r="Y765">
        <v>0</v>
      </c>
      <c r="Z765" s="5">
        <v>280</v>
      </c>
      <c r="AA765" s="3">
        <v>135</v>
      </c>
      <c r="AB765" s="5">
        <v>37800</v>
      </c>
      <c r="AC765">
        <v>280</v>
      </c>
      <c r="AD765">
        <v>135</v>
      </c>
      <c r="AE765" s="1">
        <v>37800</v>
      </c>
      <c r="AF765">
        <v>0</v>
      </c>
      <c r="AJ765">
        <v>0</v>
      </c>
      <c r="AK765">
        <v>0</v>
      </c>
      <c r="AL765">
        <v>0</v>
      </c>
      <c r="AM765">
        <v>0</v>
      </c>
      <c r="AN765">
        <v>0</v>
      </c>
      <c r="AO765">
        <v>0</v>
      </c>
      <c r="AP765" s="2">
        <v>42831</v>
      </c>
      <c r="AQ765" t="s">
        <v>72</v>
      </c>
      <c r="AR765" t="s">
        <v>72</v>
      </c>
      <c r="AS765">
        <v>182</v>
      </c>
      <c r="AT765" s="4">
        <v>42766</v>
      </c>
      <c r="AU765" t="s">
        <v>73</v>
      </c>
      <c r="AV765">
        <v>182</v>
      </c>
      <c r="AW765" s="4">
        <v>42766</v>
      </c>
      <c r="BD765">
        <v>0</v>
      </c>
      <c r="BN765" t="s">
        <v>74</v>
      </c>
    </row>
    <row r="766" spans="1:66">
      <c r="A766">
        <v>100930</v>
      </c>
      <c r="B766" t="s">
        <v>213</v>
      </c>
      <c r="C766" s="1">
        <v>43300101</v>
      </c>
      <c r="D766" t="s">
        <v>67</v>
      </c>
      <c r="H766" t="str">
        <f t="shared" si="96"/>
        <v>06111530637</v>
      </c>
      <c r="I766" t="str">
        <f t="shared" si="96"/>
        <v>06111530637</v>
      </c>
      <c r="K766" t="str">
        <f>""</f>
        <v/>
      </c>
      <c r="M766" t="s">
        <v>68</v>
      </c>
      <c r="N766" t="str">
        <f t="shared" si="94"/>
        <v>FOR</v>
      </c>
      <c r="O766" t="s">
        <v>69</v>
      </c>
      <c r="P766" t="s">
        <v>75</v>
      </c>
      <c r="Q766">
        <v>2016</v>
      </c>
      <c r="R766" s="4">
        <v>42660</v>
      </c>
      <c r="S766" s="2">
        <v>42661</v>
      </c>
      <c r="T766" s="2">
        <v>42661</v>
      </c>
      <c r="U766" s="4">
        <v>42721</v>
      </c>
      <c r="V766" t="s">
        <v>71</v>
      </c>
      <c r="W766" t="str">
        <f>"             4039/PA"</f>
        <v xml:space="preserve">             4039/PA</v>
      </c>
      <c r="X766">
        <v>658.8</v>
      </c>
      <c r="Y766">
        <v>0</v>
      </c>
      <c r="Z766" s="5">
        <v>540</v>
      </c>
      <c r="AA766" s="3">
        <v>45</v>
      </c>
      <c r="AB766" s="5">
        <v>24300</v>
      </c>
      <c r="AC766">
        <v>540</v>
      </c>
      <c r="AD766">
        <v>45</v>
      </c>
      <c r="AE766" s="1">
        <v>24300</v>
      </c>
      <c r="AF766">
        <v>0</v>
      </c>
      <c r="AJ766">
        <v>0</v>
      </c>
      <c r="AK766">
        <v>0</v>
      </c>
      <c r="AL766">
        <v>0</v>
      </c>
      <c r="AM766">
        <v>0</v>
      </c>
      <c r="AN766">
        <v>0</v>
      </c>
      <c r="AO766">
        <v>0</v>
      </c>
      <c r="AP766" s="2">
        <v>42831</v>
      </c>
      <c r="AQ766" t="s">
        <v>72</v>
      </c>
      <c r="AR766" t="s">
        <v>72</v>
      </c>
      <c r="AS766">
        <v>182</v>
      </c>
      <c r="AT766" s="4">
        <v>42766</v>
      </c>
      <c r="AU766" t="s">
        <v>73</v>
      </c>
      <c r="AV766">
        <v>182</v>
      </c>
      <c r="AW766" s="4">
        <v>42766</v>
      </c>
      <c r="BD766">
        <v>0</v>
      </c>
      <c r="BN766" t="s">
        <v>74</v>
      </c>
    </row>
    <row r="767" spans="1:66">
      <c r="A767">
        <v>100930</v>
      </c>
      <c r="B767" t="s">
        <v>213</v>
      </c>
      <c r="C767" s="1">
        <v>43300101</v>
      </c>
      <c r="D767" t="s">
        <v>67</v>
      </c>
      <c r="H767" t="str">
        <f t="shared" si="96"/>
        <v>06111530637</v>
      </c>
      <c r="I767" t="str">
        <f t="shared" si="96"/>
        <v>06111530637</v>
      </c>
      <c r="K767" t="str">
        <f>""</f>
        <v/>
      </c>
      <c r="M767" t="s">
        <v>68</v>
      </c>
      <c r="N767" t="str">
        <f t="shared" si="94"/>
        <v>FOR</v>
      </c>
      <c r="O767" t="s">
        <v>69</v>
      </c>
      <c r="P767" t="s">
        <v>75</v>
      </c>
      <c r="Q767">
        <v>2016</v>
      </c>
      <c r="R767" s="4">
        <v>42663</v>
      </c>
      <c r="S767" s="2">
        <v>42670</v>
      </c>
      <c r="T767" s="2">
        <v>42667</v>
      </c>
      <c r="U767" s="4">
        <v>42727</v>
      </c>
      <c r="V767" t="s">
        <v>71</v>
      </c>
      <c r="W767" t="str">
        <f>"             4170/PA"</f>
        <v xml:space="preserve">             4170/PA</v>
      </c>
      <c r="X767" s="1">
        <v>5233.8</v>
      </c>
      <c r="Y767">
        <v>0</v>
      </c>
      <c r="Z767" s="5">
        <v>4290</v>
      </c>
      <c r="AA767" s="3">
        <v>39</v>
      </c>
      <c r="AB767" s="5">
        <v>167310</v>
      </c>
      <c r="AC767" s="1">
        <v>4290</v>
      </c>
      <c r="AD767">
        <v>39</v>
      </c>
      <c r="AE767" s="1">
        <v>167310</v>
      </c>
      <c r="AF767">
        <v>0</v>
      </c>
      <c r="AJ767">
        <v>0</v>
      </c>
      <c r="AK767">
        <v>0</v>
      </c>
      <c r="AL767">
        <v>0</v>
      </c>
      <c r="AM767">
        <v>0</v>
      </c>
      <c r="AN767">
        <v>0</v>
      </c>
      <c r="AO767">
        <v>0</v>
      </c>
      <c r="AP767" s="2">
        <v>42831</v>
      </c>
      <c r="AQ767" t="s">
        <v>72</v>
      </c>
      <c r="AR767" t="s">
        <v>72</v>
      </c>
      <c r="AS767">
        <v>182</v>
      </c>
      <c r="AT767" s="4">
        <v>42766</v>
      </c>
      <c r="AU767" t="s">
        <v>73</v>
      </c>
      <c r="AV767">
        <v>182</v>
      </c>
      <c r="AW767" s="4">
        <v>42766</v>
      </c>
      <c r="BD767">
        <v>0</v>
      </c>
      <c r="BN767" t="s">
        <v>74</v>
      </c>
    </row>
    <row r="768" spans="1:66">
      <c r="A768">
        <v>100930</v>
      </c>
      <c r="B768" t="s">
        <v>213</v>
      </c>
      <c r="C768" s="1">
        <v>43300101</v>
      </c>
      <c r="D768" t="s">
        <v>67</v>
      </c>
      <c r="H768" t="str">
        <f t="shared" si="96"/>
        <v>06111530637</v>
      </c>
      <c r="I768" t="str">
        <f t="shared" si="96"/>
        <v>06111530637</v>
      </c>
      <c r="K768" t="str">
        <f>""</f>
        <v/>
      </c>
      <c r="M768" t="s">
        <v>68</v>
      </c>
      <c r="N768" t="str">
        <f t="shared" si="94"/>
        <v>FOR</v>
      </c>
      <c r="O768" t="s">
        <v>69</v>
      </c>
      <c r="P768" t="s">
        <v>75</v>
      </c>
      <c r="Q768">
        <v>2016</v>
      </c>
      <c r="R768" s="4">
        <v>42725</v>
      </c>
      <c r="S768" s="2">
        <v>42727</v>
      </c>
      <c r="T768" s="2">
        <v>42726</v>
      </c>
      <c r="U768" s="4">
        <v>42786</v>
      </c>
      <c r="V768" t="s">
        <v>71</v>
      </c>
      <c r="W768" t="str">
        <f>"             5159/PA"</f>
        <v xml:space="preserve">             5159/PA</v>
      </c>
      <c r="X768">
        <v>683.2</v>
      </c>
      <c r="Y768">
        <v>0</v>
      </c>
      <c r="Z768" s="5">
        <v>560</v>
      </c>
      <c r="AA768" s="3">
        <v>7</v>
      </c>
      <c r="AB768" s="5">
        <v>3920</v>
      </c>
      <c r="AC768">
        <v>560</v>
      </c>
      <c r="AD768">
        <v>7</v>
      </c>
      <c r="AE768" s="1">
        <v>3920</v>
      </c>
      <c r="AF768">
        <v>0</v>
      </c>
      <c r="AJ768">
        <v>0</v>
      </c>
      <c r="AK768">
        <v>0</v>
      </c>
      <c r="AL768">
        <v>0</v>
      </c>
      <c r="AM768">
        <v>0</v>
      </c>
      <c r="AN768">
        <v>0</v>
      </c>
      <c r="AO768">
        <v>0</v>
      </c>
      <c r="AP768" s="2">
        <v>42831</v>
      </c>
      <c r="AQ768" t="s">
        <v>72</v>
      </c>
      <c r="AR768" t="s">
        <v>72</v>
      </c>
      <c r="AS768">
        <v>609</v>
      </c>
      <c r="AT768" s="4">
        <v>42793</v>
      </c>
      <c r="AU768" t="s">
        <v>73</v>
      </c>
      <c r="AV768">
        <v>609</v>
      </c>
      <c r="AW768" s="4">
        <v>42793</v>
      </c>
      <c r="BD768">
        <v>0</v>
      </c>
      <c r="BN768" t="s">
        <v>74</v>
      </c>
    </row>
    <row r="769" spans="1:66">
      <c r="A769">
        <v>100951</v>
      </c>
      <c r="B769" t="s">
        <v>214</v>
      </c>
      <c r="C769" s="1">
        <v>43500101</v>
      </c>
      <c r="D769" t="s">
        <v>98</v>
      </c>
      <c r="H769" t="str">
        <f>"FRMDRA78C19F205E"</f>
        <v>FRMDRA78C19F205E</v>
      </c>
      <c r="I769" t="str">
        <f>"01397290550"</f>
        <v>01397290550</v>
      </c>
      <c r="K769" t="str">
        <f>""</f>
        <v/>
      </c>
      <c r="M769" t="s">
        <v>68</v>
      </c>
      <c r="N769" t="str">
        <f t="shared" ref="N769:N775" si="97">"ALTPRO"</f>
        <v>ALTPRO</v>
      </c>
      <c r="O769" t="s">
        <v>116</v>
      </c>
      <c r="P769" t="s">
        <v>75</v>
      </c>
      <c r="Q769">
        <v>2017</v>
      </c>
      <c r="R769" s="4">
        <v>42745</v>
      </c>
      <c r="S769" s="2">
        <v>42747</v>
      </c>
      <c r="T769" s="2">
        <v>42745</v>
      </c>
      <c r="U769" s="4">
        <v>42805</v>
      </c>
      <c r="V769" t="s">
        <v>71</v>
      </c>
      <c r="W769" t="str">
        <f>"         FATTPA 1_17"</f>
        <v xml:space="preserve">         FATTPA 1_17</v>
      </c>
      <c r="X769" s="1">
        <v>5268</v>
      </c>
      <c r="Y769" s="1">
        <v>-1053.5999999999999</v>
      </c>
      <c r="Z769" s="5">
        <v>4214.3999999999996</v>
      </c>
      <c r="AA769" s="3">
        <v>-40</v>
      </c>
      <c r="AB769" s="5">
        <v>-168576</v>
      </c>
      <c r="AC769" s="1">
        <v>4214.3999999999996</v>
      </c>
      <c r="AD769">
        <v>-40</v>
      </c>
      <c r="AE769" s="1">
        <v>-168576</v>
      </c>
      <c r="AF769">
        <v>0</v>
      </c>
      <c r="AJ769" s="1">
        <v>-1053.5999999999999</v>
      </c>
      <c r="AK769" s="1">
        <v>4214.3999999999996</v>
      </c>
      <c r="AL769" s="1">
        <v>4214.3999999999996</v>
      </c>
      <c r="AM769" s="1">
        <v>-1053.5999999999999</v>
      </c>
      <c r="AN769" s="1">
        <v>4214.3999999999996</v>
      </c>
      <c r="AO769" s="1">
        <v>4214.3999999999996</v>
      </c>
      <c r="AP769" s="2">
        <v>42831</v>
      </c>
      <c r="AQ769" t="s">
        <v>72</v>
      </c>
      <c r="AR769" t="s">
        <v>72</v>
      </c>
      <c r="AS769">
        <v>130</v>
      </c>
      <c r="AT769" s="4">
        <v>42765</v>
      </c>
      <c r="AV769">
        <v>130</v>
      </c>
      <c r="AW769" s="4">
        <v>42765</v>
      </c>
      <c r="BD769">
        <v>0</v>
      </c>
      <c r="BN769" t="s">
        <v>74</v>
      </c>
    </row>
    <row r="770" spans="1:66">
      <c r="A770">
        <v>100951</v>
      </c>
      <c r="B770" t="s">
        <v>214</v>
      </c>
      <c r="C770" s="1">
        <v>43500101</v>
      </c>
      <c r="D770" t="s">
        <v>98</v>
      </c>
      <c r="H770" t="str">
        <f>"FRMDRA78C19F205E"</f>
        <v>FRMDRA78C19F205E</v>
      </c>
      <c r="I770" t="str">
        <f>"01397290550"</f>
        <v>01397290550</v>
      </c>
      <c r="K770" t="str">
        <f>""</f>
        <v/>
      </c>
      <c r="M770" t="s">
        <v>68</v>
      </c>
      <c r="N770" t="str">
        <f t="shared" si="97"/>
        <v>ALTPRO</v>
      </c>
      <c r="O770" t="s">
        <v>116</v>
      </c>
      <c r="P770" t="s">
        <v>75</v>
      </c>
      <c r="Q770">
        <v>2017</v>
      </c>
      <c r="R770" s="4">
        <v>42776</v>
      </c>
      <c r="S770" s="2">
        <v>42776</v>
      </c>
      <c r="T770" s="2">
        <v>42776</v>
      </c>
      <c r="U770" s="4">
        <v>42836</v>
      </c>
      <c r="V770" t="s">
        <v>71</v>
      </c>
      <c r="W770" t="str">
        <f>"         FATTPA 2_17"</f>
        <v xml:space="preserve">         FATTPA 2_17</v>
      </c>
      <c r="X770" s="1">
        <v>2634</v>
      </c>
      <c r="Y770">
        <v>-526.79999999999995</v>
      </c>
      <c r="Z770" s="5">
        <v>2107.1999999999998</v>
      </c>
      <c r="AA770" s="3">
        <v>-57</v>
      </c>
      <c r="AB770" s="5">
        <v>-120110.39999999999</v>
      </c>
      <c r="AC770" s="1">
        <v>2107.1999999999998</v>
      </c>
      <c r="AD770">
        <v>-57</v>
      </c>
      <c r="AE770" s="1">
        <v>-120110.39999999999</v>
      </c>
      <c r="AF770">
        <v>0</v>
      </c>
      <c r="AJ770" s="1">
        <v>2107.1999999999998</v>
      </c>
      <c r="AK770" s="1">
        <v>2107.1999999999998</v>
      </c>
      <c r="AL770" s="1">
        <v>2107.1999999999998</v>
      </c>
      <c r="AM770" s="1">
        <v>2107.1999999999998</v>
      </c>
      <c r="AN770" s="1">
        <v>2107.1999999999998</v>
      </c>
      <c r="AO770" s="1">
        <v>2107.1999999999998</v>
      </c>
      <c r="AP770" s="2">
        <v>42831</v>
      </c>
      <c r="AQ770" t="s">
        <v>72</v>
      </c>
      <c r="AR770" t="s">
        <v>72</v>
      </c>
      <c r="AS770">
        <v>413</v>
      </c>
      <c r="AT770" s="4">
        <v>42779</v>
      </c>
      <c r="AV770">
        <v>413</v>
      </c>
      <c r="AW770" s="4">
        <v>42779</v>
      </c>
      <c r="BD770">
        <v>0</v>
      </c>
      <c r="BN770" t="s">
        <v>74</v>
      </c>
    </row>
    <row r="771" spans="1:66">
      <c r="A771">
        <v>100951</v>
      </c>
      <c r="B771" t="s">
        <v>214</v>
      </c>
      <c r="C771" s="1">
        <v>43500101</v>
      </c>
      <c r="D771" t="s">
        <v>98</v>
      </c>
      <c r="H771" t="str">
        <f>"FRMDRA78C19F205E"</f>
        <v>FRMDRA78C19F205E</v>
      </c>
      <c r="I771" t="str">
        <f>"01397290550"</f>
        <v>01397290550</v>
      </c>
      <c r="K771" t="str">
        <f>""</f>
        <v/>
      </c>
      <c r="M771" t="s">
        <v>68</v>
      </c>
      <c r="N771" t="str">
        <f t="shared" si="97"/>
        <v>ALTPRO</v>
      </c>
      <c r="O771" t="s">
        <v>116</v>
      </c>
      <c r="P771" t="s">
        <v>75</v>
      </c>
      <c r="Q771">
        <v>2017</v>
      </c>
      <c r="R771" s="4">
        <v>42796</v>
      </c>
      <c r="S771" s="2">
        <v>42797</v>
      </c>
      <c r="T771" s="2">
        <v>42796</v>
      </c>
      <c r="U771" s="4">
        <v>42856</v>
      </c>
      <c r="V771" t="s">
        <v>71</v>
      </c>
      <c r="W771" t="str">
        <f>"         FATTPA 3_17"</f>
        <v xml:space="preserve">         FATTPA 3_17</v>
      </c>
      <c r="X771">
        <v>816.5</v>
      </c>
      <c r="Y771">
        <v>-163.30000000000001</v>
      </c>
      <c r="Z771" s="5">
        <v>653.20000000000005</v>
      </c>
      <c r="AA771" s="3">
        <v>-59</v>
      </c>
      <c r="AB771" s="5">
        <v>-38538.800000000003</v>
      </c>
      <c r="AC771">
        <v>653.20000000000005</v>
      </c>
      <c r="AD771">
        <v>-59</v>
      </c>
      <c r="AE771" s="1">
        <v>-38538.800000000003</v>
      </c>
      <c r="AF771">
        <v>0</v>
      </c>
      <c r="AJ771">
        <v>653.20000000000005</v>
      </c>
      <c r="AK771">
        <v>653.20000000000005</v>
      </c>
      <c r="AL771">
        <v>653.20000000000005</v>
      </c>
      <c r="AM771">
        <v>653.20000000000005</v>
      </c>
      <c r="AN771">
        <v>653.20000000000005</v>
      </c>
      <c r="AO771">
        <v>653.20000000000005</v>
      </c>
      <c r="AP771" s="2">
        <v>42831</v>
      </c>
      <c r="AQ771" t="s">
        <v>72</v>
      </c>
      <c r="AR771" t="s">
        <v>72</v>
      </c>
      <c r="AS771">
        <v>726</v>
      </c>
      <c r="AT771" s="4">
        <v>42797</v>
      </c>
      <c r="AV771">
        <v>726</v>
      </c>
      <c r="AW771" s="4">
        <v>42797</v>
      </c>
      <c r="BD771">
        <v>0</v>
      </c>
      <c r="BN771" t="s">
        <v>74</v>
      </c>
    </row>
    <row r="772" spans="1:66">
      <c r="A772">
        <v>100951</v>
      </c>
      <c r="B772" t="s">
        <v>214</v>
      </c>
      <c r="C772" s="1">
        <v>43500101</v>
      </c>
      <c r="D772" t="s">
        <v>98</v>
      </c>
      <c r="H772" t="str">
        <f>"FRMDRA78C19F205E"</f>
        <v>FRMDRA78C19F205E</v>
      </c>
      <c r="I772" t="str">
        <f>"01397290550"</f>
        <v>01397290550</v>
      </c>
      <c r="K772" t="str">
        <f>""</f>
        <v/>
      </c>
      <c r="M772" t="s">
        <v>68</v>
      </c>
      <c r="N772" t="str">
        <f t="shared" si="97"/>
        <v>ALTPRO</v>
      </c>
      <c r="O772" t="s">
        <v>116</v>
      </c>
      <c r="P772" t="s">
        <v>75</v>
      </c>
      <c r="Q772">
        <v>2017</v>
      </c>
      <c r="R772" s="4">
        <v>42800</v>
      </c>
      <c r="S772" s="2">
        <v>42801</v>
      </c>
      <c r="T772" s="2">
        <v>42800</v>
      </c>
      <c r="U772" s="4">
        <v>42860</v>
      </c>
      <c r="V772" t="s">
        <v>71</v>
      </c>
      <c r="W772" t="str">
        <f>"         FATTPA 4_17"</f>
        <v xml:space="preserve">         FATTPA 4_17</v>
      </c>
      <c r="X772" s="1">
        <v>2212.56</v>
      </c>
      <c r="Y772">
        <v>-442.51</v>
      </c>
      <c r="Z772" s="5">
        <v>1770.05</v>
      </c>
      <c r="AA772" s="3">
        <v>-59</v>
      </c>
      <c r="AB772" s="5">
        <v>-104432.95</v>
      </c>
      <c r="AC772" s="1">
        <v>1770.05</v>
      </c>
      <c r="AD772">
        <v>-59</v>
      </c>
      <c r="AE772" s="1">
        <v>-104432.95</v>
      </c>
      <c r="AF772">
        <v>0</v>
      </c>
      <c r="AJ772" s="1">
        <v>1770.05</v>
      </c>
      <c r="AK772" s="1">
        <v>1770.05</v>
      </c>
      <c r="AL772" s="1">
        <v>1770.05</v>
      </c>
      <c r="AM772" s="1">
        <v>1770.05</v>
      </c>
      <c r="AN772" s="1">
        <v>1770.05</v>
      </c>
      <c r="AO772" s="1">
        <v>1770.05</v>
      </c>
      <c r="AP772" s="2">
        <v>42831</v>
      </c>
      <c r="AQ772" t="s">
        <v>72</v>
      </c>
      <c r="AR772" t="s">
        <v>72</v>
      </c>
      <c r="AS772">
        <v>744</v>
      </c>
      <c r="AT772" s="4">
        <v>42801</v>
      </c>
      <c r="AV772">
        <v>744</v>
      </c>
      <c r="AW772" s="4">
        <v>42801</v>
      </c>
      <c r="BD772">
        <v>0</v>
      </c>
      <c r="BN772" t="s">
        <v>74</v>
      </c>
    </row>
    <row r="773" spans="1:66">
      <c r="A773">
        <v>100952</v>
      </c>
      <c r="B773" t="s">
        <v>215</v>
      </c>
      <c r="C773" s="1">
        <v>43500101</v>
      </c>
      <c r="D773" t="s">
        <v>98</v>
      </c>
      <c r="H773" t="str">
        <f>"DGLFNC77D18F839N"</f>
        <v>DGLFNC77D18F839N</v>
      </c>
      <c r="I773" t="str">
        <f>"03524111212"</f>
        <v>03524111212</v>
      </c>
      <c r="K773" t="str">
        <f>""</f>
        <v/>
      </c>
      <c r="M773" t="s">
        <v>68</v>
      </c>
      <c r="N773" t="str">
        <f t="shared" si="97"/>
        <v>ALTPRO</v>
      </c>
      <c r="O773" t="s">
        <v>116</v>
      </c>
      <c r="P773" t="s">
        <v>75</v>
      </c>
      <c r="Q773">
        <v>2017</v>
      </c>
      <c r="R773" s="4">
        <v>42744</v>
      </c>
      <c r="S773" s="2">
        <v>42747</v>
      </c>
      <c r="T773" s="2">
        <v>42744</v>
      </c>
      <c r="U773" s="4">
        <v>42804</v>
      </c>
      <c r="V773" t="s">
        <v>71</v>
      </c>
      <c r="W773" t="str">
        <f>"         FATTPA 1_17"</f>
        <v xml:space="preserve">         FATTPA 1_17</v>
      </c>
      <c r="X773" s="1">
        <v>2511.08</v>
      </c>
      <c r="Y773">
        <v>0</v>
      </c>
      <c r="Z773" s="5">
        <v>2511.08</v>
      </c>
      <c r="AA773" s="3">
        <v>-39</v>
      </c>
      <c r="AB773" s="5">
        <v>-97932.12</v>
      </c>
      <c r="AC773" s="1">
        <v>2511.08</v>
      </c>
      <c r="AD773">
        <v>-39</v>
      </c>
      <c r="AE773" s="1">
        <v>-97932.12</v>
      </c>
      <c r="AF773">
        <v>0</v>
      </c>
      <c r="AJ773">
        <v>0</v>
      </c>
      <c r="AK773" s="1">
        <v>2511.08</v>
      </c>
      <c r="AL773" s="1">
        <v>2511.08</v>
      </c>
      <c r="AM773">
        <v>0</v>
      </c>
      <c r="AN773" s="1">
        <v>2511.08</v>
      </c>
      <c r="AO773" s="1">
        <v>2511.08</v>
      </c>
      <c r="AP773" s="2">
        <v>42831</v>
      </c>
      <c r="AQ773" t="s">
        <v>72</v>
      </c>
      <c r="AR773" t="s">
        <v>72</v>
      </c>
      <c r="AS773">
        <v>119</v>
      </c>
      <c r="AT773" s="4">
        <v>42765</v>
      </c>
      <c r="AV773">
        <v>119</v>
      </c>
      <c r="AW773" s="4">
        <v>42765</v>
      </c>
      <c r="BD773">
        <v>0</v>
      </c>
      <c r="BN773" t="s">
        <v>74</v>
      </c>
    </row>
    <row r="774" spans="1:66">
      <c r="A774">
        <v>100952</v>
      </c>
      <c r="B774" t="s">
        <v>215</v>
      </c>
      <c r="C774" s="1">
        <v>43500101</v>
      </c>
      <c r="D774" t="s">
        <v>98</v>
      </c>
      <c r="H774" t="str">
        <f>"DGLFNC77D18F839N"</f>
        <v>DGLFNC77D18F839N</v>
      </c>
      <c r="I774" t="str">
        <f>"03524111212"</f>
        <v>03524111212</v>
      </c>
      <c r="K774" t="str">
        <f>""</f>
        <v/>
      </c>
      <c r="M774" t="s">
        <v>68</v>
      </c>
      <c r="N774" t="str">
        <f t="shared" si="97"/>
        <v>ALTPRO</v>
      </c>
      <c r="O774" t="s">
        <v>116</v>
      </c>
      <c r="P774" t="s">
        <v>75</v>
      </c>
      <c r="Q774">
        <v>2017</v>
      </c>
      <c r="R774" s="4">
        <v>42775</v>
      </c>
      <c r="S774" s="2">
        <v>42775</v>
      </c>
      <c r="T774" s="2">
        <v>42775</v>
      </c>
      <c r="U774" s="4">
        <v>42835</v>
      </c>
      <c r="V774" t="s">
        <v>71</v>
      </c>
      <c r="W774" t="str">
        <f>"         FATTPA 2_17"</f>
        <v xml:space="preserve">         FATTPA 2_17</v>
      </c>
      <c r="X774" s="1">
        <v>2634</v>
      </c>
      <c r="Y774">
        <v>0</v>
      </c>
      <c r="Z774" s="5">
        <v>2634</v>
      </c>
      <c r="AA774" s="3">
        <v>-59</v>
      </c>
      <c r="AB774" s="5">
        <v>-155406</v>
      </c>
      <c r="AC774" s="1">
        <v>2634</v>
      </c>
      <c r="AD774">
        <v>-59</v>
      </c>
      <c r="AE774" s="1">
        <v>-155406</v>
      </c>
      <c r="AF774">
        <v>0</v>
      </c>
      <c r="AJ774" s="1">
        <v>2634</v>
      </c>
      <c r="AK774" s="1">
        <v>2634</v>
      </c>
      <c r="AL774" s="1">
        <v>2634</v>
      </c>
      <c r="AM774" s="1">
        <v>2634</v>
      </c>
      <c r="AN774" s="1">
        <v>2634</v>
      </c>
      <c r="AO774" s="1">
        <v>2634</v>
      </c>
      <c r="AP774" s="2">
        <v>42831</v>
      </c>
      <c r="AQ774" t="s">
        <v>72</v>
      </c>
      <c r="AR774" t="s">
        <v>72</v>
      </c>
      <c r="AS774">
        <v>389</v>
      </c>
      <c r="AT774" s="4">
        <v>42776</v>
      </c>
      <c r="AV774">
        <v>389</v>
      </c>
      <c r="AW774" s="4">
        <v>42776</v>
      </c>
      <c r="BD774">
        <v>0</v>
      </c>
      <c r="BN774" t="s">
        <v>74</v>
      </c>
    </row>
    <row r="775" spans="1:66">
      <c r="A775">
        <v>100952</v>
      </c>
      <c r="B775" t="s">
        <v>215</v>
      </c>
      <c r="C775" s="1">
        <v>43500101</v>
      </c>
      <c r="D775" t="s">
        <v>98</v>
      </c>
      <c r="H775" t="str">
        <f>"DGLFNC77D18F839N"</f>
        <v>DGLFNC77D18F839N</v>
      </c>
      <c r="I775" t="str">
        <f>"03524111212"</f>
        <v>03524111212</v>
      </c>
      <c r="K775" t="str">
        <f>""</f>
        <v/>
      </c>
      <c r="M775" t="s">
        <v>68</v>
      </c>
      <c r="N775" t="str">
        <f t="shared" si="97"/>
        <v>ALTPRO</v>
      </c>
      <c r="O775" t="s">
        <v>116</v>
      </c>
      <c r="P775" t="s">
        <v>75</v>
      </c>
      <c r="Q775">
        <v>2017</v>
      </c>
      <c r="R775" s="4">
        <v>42795</v>
      </c>
      <c r="S775" s="2">
        <v>42796</v>
      </c>
      <c r="T775" s="2">
        <v>42795</v>
      </c>
      <c r="U775" s="4">
        <v>42855</v>
      </c>
      <c r="V775" t="s">
        <v>71</v>
      </c>
      <c r="W775" t="str">
        <f>"         FATTPA 3_17"</f>
        <v xml:space="preserve">         FATTPA 3_17</v>
      </c>
      <c r="X775" s="1">
        <v>2336.71</v>
      </c>
      <c r="Y775">
        <v>0</v>
      </c>
      <c r="Z775" s="5">
        <v>2336.71</v>
      </c>
      <c r="AA775" s="3">
        <v>-59</v>
      </c>
      <c r="AB775" s="5">
        <v>-137865.89000000001</v>
      </c>
      <c r="AC775" s="1">
        <v>2336.71</v>
      </c>
      <c r="AD775">
        <v>-59</v>
      </c>
      <c r="AE775" s="1">
        <v>-137865.89000000001</v>
      </c>
      <c r="AF775">
        <v>0</v>
      </c>
      <c r="AJ775" s="1">
        <v>2336.71</v>
      </c>
      <c r="AK775" s="1">
        <v>2336.71</v>
      </c>
      <c r="AL775" s="1">
        <v>2336.71</v>
      </c>
      <c r="AM775" s="1">
        <v>2336.71</v>
      </c>
      <c r="AN775" s="1">
        <v>2336.71</v>
      </c>
      <c r="AO775" s="1">
        <v>2336.71</v>
      </c>
      <c r="AP775" s="2">
        <v>42831</v>
      </c>
      <c r="AQ775" t="s">
        <v>72</v>
      </c>
      <c r="AR775" t="s">
        <v>72</v>
      </c>
      <c r="AS775">
        <v>698</v>
      </c>
      <c r="AT775" s="4">
        <v>42796</v>
      </c>
      <c r="AV775">
        <v>698</v>
      </c>
      <c r="AW775" s="4">
        <v>42796</v>
      </c>
      <c r="BD775">
        <v>0</v>
      </c>
      <c r="BN775" t="s">
        <v>74</v>
      </c>
    </row>
    <row r="776" spans="1:66">
      <c r="A776">
        <v>100977</v>
      </c>
      <c r="B776" t="s">
        <v>216</v>
      </c>
      <c r="C776" s="1">
        <v>43300101</v>
      </c>
      <c r="D776" t="s">
        <v>67</v>
      </c>
      <c r="H776" t="str">
        <f>"01781130289"</f>
        <v>01781130289</v>
      </c>
      <c r="I776" t="str">
        <f>"01781130289"</f>
        <v>01781130289</v>
      </c>
      <c r="K776" t="str">
        <f>""</f>
        <v/>
      </c>
      <c r="M776" t="s">
        <v>68</v>
      </c>
      <c r="N776" t="str">
        <f t="shared" ref="N776:N811" si="98">"FOR"</f>
        <v>FOR</v>
      </c>
      <c r="O776" t="s">
        <v>69</v>
      </c>
      <c r="P776" t="s">
        <v>75</v>
      </c>
      <c r="Q776">
        <v>2016</v>
      </c>
      <c r="R776" s="4">
        <v>42459</v>
      </c>
      <c r="S776" s="2">
        <v>42642</v>
      </c>
      <c r="T776" s="2">
        <v>42642</v>
      </c>
      <c r="U776" s="4">
        <v>42702</v>
      </c>
      <c r="V776" t="s">
        <v>71</v>
      </c>
      <c r="W776" t="str">
        <f>"           16SIP1253"</f>
        <v xml:space="preserve">           16SIP1253</v>
      </c>
      <c r="X776" s="1">
        <v>4386.34</v>
      </c>
      <c r="Y776">
        <v>0</v>
      </c>
      <c r="Z776" s="5">
        <v>3595.36</v>
      </c>
      <c r="AA776" s="3">
        <v>64</v>
      </c>
      <c r="AB776" s="5">
        <v>230103.04000000001</v>
      </c>
      <c r="AC776" s="1">
        <v>3595.36</v>
      </c>
      <c r="AD776">
        <v>64</v>
      </c>
      <c r="AE776" s="1">
        <v>230103.04000000001</v>
      </c>
      <c r="AF776">
        <v>0</v>
      </c>
      <c r="AJ776">
        <v>0</v>
      </c>
      <c r="AK776">
        <v>0</v>
      </c>
      <c r="AL776">
        <v>0</v>
      </c>
      <c r="AM776">
        <v>0</v>
      </c>
      <c r="AN776">
        <v>0</v>
      </c>
      <c r="AO776">
        <v>0</v>
      </c>
      <c r="AP776" s="2">
        <v>42831</v>
      </c>
      <c r="AQ776" t="s">
        <v>72</v>
      </c>
      <c r="AR776" t="s">
        <v>72</v>
      </c>
      <c r="AS776">
        <v>183</v>
      </c>
      <c r="AT776" s="4">
        <v>42766</v>
      </c>
      <c r="AU776" t="s">
        <v>73</v>
      </c>
      <c r="AV776">
        <v>183</v>
      </c>
      <c r="AW776" s="4">
        <v>42766</v>
      </c>
      <c r="BD776">
        <v>0</v>
      </c>
      <c r="BN776" t="s">
        <v>74</v>
      </c>
    </row>
    <row r="777" spans="1:66">
      <c r="A777">
        <v>100977</v>
      </c>
      <c r="B777" t="s">
        <v>216</v>
      </c>
      <c r="C777" s="1">
        <v>43300101</v>
      </c>
      <c r="D777" t="s">
        <v>67</v>
      </c>
      <c r="H777" t="str">
        <f>"01781130289"</f>
        <v>01781130289</v>
      </c>
      <c r="I777" t="str">
        <f>"01781130289"</f>
        <v>01781130289</v>
      </c>
      <c r="K777" t="str">
        <f>""</f>
        <v/>
      </c>
      <c r="M777" t="s">
        <v>68</v>
      </c>
      <c r="N777" t="str">
        <f t="shared" si="98"/>
        <v>FOR</v>
      </c>
      <c r="O777" t="s">
        <v>69</v>
      </c>
      <c r="P777" t="s">
        <v>75</v>
      </c>
      <c r="Q777">
        <v>2016</v>
      </c>
      <c r="R777" s="4">
        <v>42489</v>
      </c>
      <c r="S777" s="2">
        <v>42495</v>
      </c>
      <c r="T777" s="2">
        <v>42493</v>
      </c>
      <c r="U777" s="4">
        <v>42553</v>
      </c>
      <c r="V777" t="s">
        <v>71</v>
      </c>
      <c r="W777" t="str">
        <f>"           16SIP1586"</f>
        <v xml:space="preserve">           16SIP1586</v>
      </c>
      <c r="X777" s="1">
        <v>7320</v>
      </c>
      <c r="Y777">
        <v>0</v>
      </c>
      <c r="Z777" s="5">
        <v>6000</v>
      </c>
      <c r="AA777" s="3">
        <v>213</v>
      </c>
      <c r="AB777" s="5">
        <v>1278000</v>
      </c>
      <c r="AC777" s="1">
        <v>6000</v>
      </c>
      <c r="AD777">
        <v>213</v>
      </c>
      <c r="AE777" s="1">
        <v>1278000</v>
      </c>
      <c r="AF777">
        <v>0</v>
      </c>
      <c r="AJ777">
        <v>0</v>
      </c>
      <c r="AK777">
        <v>0</v>
      </c>
      <c r="AL777">
        <v>0</v>
      </c>
      <c r="AM777">
        <v>0</v>
      </c>
      <c r="AN777">
        <v>0</v>
      </c>
      <c r="AO777">
        <v>0</v>
      </c>
      <c r="AP777" s="2">
        <v>42831</v>
      </c>
      <c r="AQ777" t="s">
        <v>72</v>
      </c>
      <c r="AR777" t="s">
        <v>72</v>
      </c>
      <c r="AS777">
        <v>183</v>
      </c>
      <c r="AT777" s="4">
        <v>42766</v>
      </c>
      <c r="AU777" t="s">
        <v>73</v>
      </c>
      <c r="AV777">
        <v>183</v>
      </c>
      <c r="AW777" s="4">
        <v>42766</v>
      </c>
      <c r="BD777">
        <v>0</v>
      </c>
      <c r="BN777" t="s">
        <v>74</v>
      </c>
    </row>
    <row r="778" spans="1:66">
      <c r="A778">
        <v>100978</v>
      </c>
      <c r="B778" t="s">
        <v>217</v>
      </c>
      <c r="C778" s="1">
        <v>43300101</v>
      </c>
      <c r="D778" t="s">
        <v>67</v>
      </c>
      <c r="H778" t="str">
        <f>"00556960375"</f>
        <v>00556960375</v>
      </c>
      <c r="I778" t="str">
        <f>"01189820689"</f>
        <v>01189820689</v>
      </c>
      <c r="K778" t="str">
        <f>""</f>
        <v/>
      </c>
      <c r="M778" t="s">
        <v>68</v>
      </c>
      <c r="N778" t="str">
        <f t="shared" si="98"/>
        <v>FOR</v>
      </c>
      <c r="O778" t="s">
        <v>69</v>
      </c>
      <c r="P778" t="s">
        <v>75</v>
      </c>
      <c r="Q778">
        <v>2017</v>
      </c>
      <c r="R778" s="4">
        <v>42751</v>
      </c>
      <c r="S778" s="2">
        <v>42775</v>
      </c>
      <c r="T778" s="2">
        <v>42774</v>
      </c>
      <c r="U778" s="4">
        <v>42834</v>
      </c>
      <c r="V778" t="s">
        <v>71</v>
      </c>
      <c r="W778" t="str">
        <f>"               10875"</f>
        <v xml:space="preserve">               10875</v>
      </c>
      <c r="X778">
        <v>818.4</v>
      </c>
      <c r="Y778">
        <v>0</v>
      </c>
      <c r="Z778" s="5">
        <v>744</v>
      </c>
      <c r="AA778" s="3">
        <v>-39</v>
      </c>
      <c r="AB778" s="5">
        <v>-29016</v>
      </c>
      <c r="AC778">
        <v>744</v>
      </c>
      <c r="AD778">
        <v>-39</v>
      </c>
      <c r="AE778" s="1">
        <v>-29016</v>
      </c>
      <c r="AF778">
        <v>74.400000000000006</v>
      </c>
      <c r="AJ778">
        <v>818.4</v>
      </c>
      <c r="AK778">
        <v>818.4</v>
      </c>
      <c r="AL778">
        <v>818.4</v>
      </c>
      <c r="AM778">
        <v>818.4</v>
      </c>
      <c r="AN778">
        <v>818.4</v>
      </c>
      <c r="AO778">
        <v>818.4</v>
      </c>
      <c r="AP778" s="2">
        <v>42831</v>
      </c>
      <c r="AQ778" t="s">
        <v>72</v>
      </c>
      <c r="AR778" t="s">
        <v>72</v>
      </c>
      <c r="AS778">
        <v>651</v>
      </c>
      <c r="AT778" s="4">
        <v>42795</v>
      </c>
      <c r="AV778">
        <v>651</v>
      </c>
      <c r="AW778" s="4">
        <v>42795</v>
      </c>
      <c r="BD778">
        <v>0</v>
      </c>
      <c r="BF778">
        <v>74.400000000000006</v>
      </c>
      <c r="BN778" t="s">
        <v>74</v>
      </c>
    </row>
    <row r="779" spans="1:66">
      <c r="A779">
        <v>100980</v>
      </c>
      <c r="B779" t="s">
        <v>218</v>
      </c>
      <c r="C779" s="1">
        <v>43300101</v>
      </c>
      <c r="D779" t="s">
        <v>67</v>
      </c>
      <c r="H779" t="str">
        <f t="shared" ref="H779:I783" si="99">"05501461213"</f>
        <v>05501461213</v>
      </c>
      <c r="I779" t="str">
        <f t="shared" si="99"/>
        <v>05501461213</v>
      </c>
      <c r="K779" t="str">
        <f>""</f>
        <v/>
      </c>
      <c r="M779" t="s">
        <v>68</v>
      </c>
      <c r="N779" t="str">
        <f t="shared" si="98"/>
        <v>FOR</v>
      </c>
      <c r="O779" t="s">
        <v>69</v>
      </c>
      <c r="P779" t="s">
        <v>75</v>
      </c>
      <c r="Q779">
        <v>2016</v>
      </c>
      <c r="R779" s="4">
        <v>42529</v>
      </c>
      <c r="S779" s="2">
        <v>42534</v>
      </c>
      <c r="T779" s="2">
        <v>42531</v>
      </c>
      <c r="U779" s="4">
        <v>42591</v>
      </c>
      <c r="V779" t="s">
        <v>71</v>
      </c>
      <c r="W779" t="str">
        <f>"               88/PA"</f>
        <v xml:space="preserve">               88/PA</v>
      </c>
      <c r="X779">
        <v>807.4</v>
      </c>
      <c r="Y779">
        <v>0</v>
      </c>
      <c r="Z779" s="5">
        <v>661.8</v>
      </c>
      <c r="AA779" s="3">
        <v>177</v>
      </c>
      <c r="AB779" s="5">
        <v>117138.6</v>
      </c>
      <c r="AC779">
        <v>661.8</v>
      </c>
      <c r="AD779">
        <v>177</v>
      </c>
      <c r="AE779" s="1">
        <v>117138.6</v>
      </c>
      <c r="AF779">
        <v>0</v>
      </c>
      <c r="AJ779">
        <v>0</v>
      </c>
      <c r="AK779">
        <v>0</v>
      </c>
      <c r="AL779">
        <v>0</v>
      </c>
      <c r="AM779">
        <v>0</v>
      </c>
      <c r="AN779">
        <v>0</v>
      </c>
      <c r="AO779">
        <v>0</v>
      </c>
      <c r="AP779" s="2">
        <v>42831</v>
      </c>
      <c r="AQ779" t="s">
        <v>72</v>
      </c>
      <c r="AR779" t="s">
        <v>72</v>
      </c>
      <c r="AS779">
        <v>234</v>
      </c>
      <c r="AT779" s="4">
        <v>42768</v>
      </c>
      <c r="AU779" t="s">
        <v>73</v>
      </c>
      <c r="AV779">
        <v>234</v>
      </c>
      <c r="AW779" s="4">
        <v>42768</v>
      </c>
      <c r="BD779">
        <v>0</v>
      </c>
      <c r="BN779" t="s">
        <v>74</v>
      </c>
    </row>
    <row r="780" spans="1:66">
      <c r="A780">
        <v>100980</v>
      </c>
      <c r="B780" t="s">
        <v>218</v>
      </c>
      <c r="C780" s="1">
        <v>43300101</v>
      </c>
      <c r="D780" t="s">
        <v>67</v>
      </c>
      <c r="H780" t="str">
        <f t="shared" si="99"/>
        <v>05501461213</v>
      </c>
      <c r="I780" t="str">
        <f t="shared" si="99"/>
        <v>05501461213</v>
      </c>
      <c r="K780" t="str">
        <f>""</f>
        <v/>
      </c>
      <c r="M780" t="s">
        <v>68</v>
      </c>
      <c r="N780" t="str">
        <f t="shared" si="98"/>
        <v>FOR</v>
      </c>
      <c r="O780" t="s">
        <v>69</v>
      </c>
      <c r="P780" t="s">
        <v>75</v>
      </c>
      <c r="Q780">
        <v>2016</v>
      </c>
      <c r="R780" s="4">
        <v>42674</v>
      </c>
      <c r="S780" s="2">
        <v>42676</v>
      </c>
      <c r="T780" s="2">
        <v>42674</v>
      </c>
      <c r="U780" s="4">
        <v>42734</v>
      </c>
      <c r="V780" t="s">
        <v>71</v>
      </c>
      <c r="W780" t="str">
        <f>"              135/PA"</f>
        <v xml:space="preserve">              135/PA</v>
      </c>
      <c r="X780" s="1">
        <v>4487.16</v>
      </c>
      <c r="Y780">
        <v>0</v>
      </c>
      <c r="Z780" s="5">
        <v>3678</v>
      </c>
      <c r="AA780" s="3">
        <v>61</v>
      </c>
      <c r="AB780" s="5">
        <v>224358</v>
      </c>
      <c r="AC780" s="1">
        <v>3678</v>
      </c>
      <c r="AD780">
        <v>61</v>
      </c>
      <c r="AE780" s="1">
        <v>224358</v>
      </c>
      <c r="AF780">
        <v>809.16</v>
      </c>
      <c r="AJ780">
        <v>0</v>
      </c>
      <c r="AK780">
        <v>0</v>
      </c>
      <c r="AL780">
        <v>0</v>
      </c>
      <c r="AM780">
        <v>0</v>
      </c>
      <c r="AN780">
        <v>0</v>
      </c>
      <c r="AO780">
        <v>0</v>
      </c>
      <c r="AP780" s="2">
        <v>42831</v>
      </c>
      <c r="AQ780" t="s">
        <v>72</v>
      </c>
      <c r="AR780" t="s">
        <v>72</v>
      </c>
      <c r="AS780">
        <v>668</v>
      </c>
      <c r="AT780" s="4">
        <v>42795</v>
      </c>
      <c r="AU780" t="s">
        <v>73</v>
      </c>
      <c r="AV780">
        <v>668</v>
      </c>
      <c r="AW780" s="4">
        <v>42795</v>
      </c>
      <c r="BA780">
        <v>809.16</v>
      </c>
      <c r="BD780">
        <v>0</v>
      </c>
      <c r="BN780" t="s">
        <v>74</v>
      </c>
    </row>
    <row r="781" spans="1:66">
      <c r="A781">
        <v>100980</v>
      </c>
      <c r="B781" t="s">
        <v>218</v>
      </c>
      <c r="C781" s="1">
        <v>43300101</v>
      </c>
      <c r="D781" t="s">
        <v>67</v>
      </c>
      <c r="H781" t="str">
        <f t="shared" si="99"/>
        <v>05501461213</v>
      </c>
      <c r="I781" t="str">
        <f t="shared" si="99"/>
        <v>05501461213</v>
      </c>
      <c r="K781" t="str">
        <f>""</f>
        <v/>
      </c>
      <c r="M781" t="s">
        <v>68</v>
      </c>
      <c r="N781" t="str">
        <f t="shared" si="98"/>
        <v>FOR</v>
      </c>
      <c r="O781" t="s">
        <v>69</v>
      </c>
      <c r="P781" t="s">
        <v>75</v>
      </c>
      <c r="Q781">
        <v>2016</v>
      </c>
      <c r="R781" s="4">
        <v>42682</v>
      </c>
      <c r="S781" s="2">
        <v>42689</v>
      </c>
      <c r="T781" s="2">
        <v>42685</v>
      </c>
      <c r="U781" s="4">
        <v>42745</v>
      </c>
      <c r="V781" t="s">
        <v>71</v>
      </c>
      <c r="W781" t="str">
        <f>"              141/PA"</f>
        <v xml:space="preserve">              141/PA</v>
      </c>
      <c r="X781">
        <v>922.32</v>
      </c>
      <c r="Y781">
        <v>0</v>
      </c>
      <c r="Z781" s="5">
        <v>756</v>
      </c>
      <c r="AA781" s="3">
        <v>50</v>
      </c>
      <c r="AB781" s="5">
        <v>37800</v>
      </c>
      <c r="AC781">
        <v>756</v>
      </c>
      <c r="AD781">
        <v>50</v>
      </c>
      <c r="AE781" s="1">
        <v>37800</v>
      </c>
      <c r="AF781">
        <v>166.32</v>
      </c>
      <c r="AJ781">
        <v>0</v>
      </c>
      <c r="AK781">
        <v>0</v>
      </c>
      <c r="AL781">
        <v>0</v>
      </c>
      <c r="AM781">
        <v>0</v>
      </c>
      <c r="AN781">
        <v>0</v>
      </c>
      <c r="AO781">
        <v>0</v>
      </c>
      <c r="AP781" s="2">
        <v>42831</v>
      </c>
      <c r="AQ781" t="s">
        <v>72</v>
      </c>
      <c r="AR781" t="s">
        <v>72</v>
      </c>
      <c r="AS781">
        <v>668</v>
      </c>
      <c r="AT781" s="4">
        <v>42795</v>
      </c>
      <c r="AU781" t="s">
        <v>73</v>
      </c>
      <c r="AV781">
        <v>668</v>
      </c>
      <c r="AW781" s="4">
        <v>42795</v>
      </c>
      <c r="AZ781">
        <v>166.32</v>
      </c>
      <c r="BD781">
        <v>0</v>
      </c>
      <c r="BN781" t="s">
        <v>74</v>
      </c>
    </row>
    <row r="782" spans="1:66">
      <c r="A782">
        <v>100980</v>
      </c>
      <c r="B782" t="s">
        <v>218</v>
      </c>
      <c r="C782" s="1">
        <v>43300101</v>
      </c>
      <c r="D782" t="s">
        <v>67</v>
      </c>
      <c r="H782" t="str">
        <f t="shared" si="99"/>
        <v>05501461213</v>
      </c>
      <c r="I782" t="str">
        <f t="shared" si="99"/>
        <v>05501461213</v>
      </c>
      <c r="K782" t="str">
        <f>""</f>
        <v/>
      </c>
      <c r="M782" t="s">
        <v>68</v>
      </c>
      <c r="N782" t="str">
        <f t="shared" si="98"/>
        <v>FOR</v>
      </c>
      <c r="O782" t="s">
        <v>69</v>
      </c>
      <c r="P782" t="s">
        <v>75</v>
      </c>
      <c r="Q782">
        <v>2016</v>
      </c>
      <c r="R782" s="4">
        <v>42697</v>
      </c>
      <c r="S782" s="2">
        <v>42711</v>
      </c>
      <c r="T782" s="2">
        <v>42705</v>
      </c>
      <c r="U782" s="4">
        <v>42765</v>
      </c>
      <c r="V782" t="s">
        <v>71</v>
      </c>
      <c r="W782" t="str">
        <f>"              153/PA"</f>
        <v xml:space="preserve">              153/PA</v>
      </c>
      <c r="X782" s="1">
        <v>1610.4</v>
      </c>
      <c r="Y782">
        <v>0</v>
      </c>
      <c r="Z782" s="5">
        <v>1320</v>
      </c>
      <c r="AA782" s="3">
        <v>30</v>
      </c>
      <c r="AB782" s="5">
        <v>39600</v>
      </c>
      <c r="AC782" s="1">
        <v>1320</v>
      </c>
      <c r="AD782">
        <v>30</v>
      </c>
      <c r="AE782" s="1">
        <v>39600</v>
      </c>
      <c r="AF782">
        <v>290.39999999999998</v>
      </c>
      <c r="AJ782">
        <v>0</v>
      </c>
      <c r="AK782">
        <v>0</v>
      </c>
      <c r="AL782">
        <v>0</v>
      </c>
      <c r="AM782">
        <v>0</v>
      </c>
      <c r="AN782">
        <v>0</v>
      </c>
      <c r="AO782">
        <v>0</v>
      </c>
      <c r="AP782" s="2">
        <v>42831</v>
      </c>
      <c r="AQ782" t="s">
        <v>72</v>
      </c>
      <c r="AR782" t="s">
        <v>72</v>
      </c>
      <c r="AS782">
        <v>668</v>
      </c>
      <c r="AT782" s="4">
        <v>42795</v>
      </c>
      <c r="AU782" t="s">
        <v>73</v>
      </c>
      <c r="AV782">
        <v>668</v>
      </c>
      <c r="AW782" s="4">
        <v>42795</v>
      </c>
      <c r="AZ782">
        <v>290.39999999999998</v>
      </c>
      <c r="BD782">
        <v>0</v>
      </c>
      <c r="BN782" t="s">
        <v>74</v>
      </c>
    </row>
    <row r="783" spans="1:66">
      <c r="A783">
        <v>100980</v>
      </c>
      <c r="B783" t="s">
        <v>218</v>
      </c>
      <c r="C783" s="1">
        <v>43300101</v>
      </c>
      <c r="D783" t="s">
        <v>67</v>
      </c>
      <c r="H783" t="str">
        <f t="shared" si="99"/>
        <v>05501461213</v>
      </c>
      <c r="I783" t="str">
        <f t="shared" si="99"/>
        <v>05501461213</v>
      </c>
      <c r="K783" t="str">
        <f>""</f>
        <v/>
      </c>
      <c r="M783" t="s">
        <v>68</v>
      </c>
      <c r="N783" t="str">
        <f t="shared" si="98"/>
        <v>FOR</v>
      </c>
      <c r="O783" t="s">
        <v>69</v>
      </c>
      <c r="P783" t="s">
        <v>75</v>
      </c>
      <c r="Q783">
        <v>2016</v>
      </c>
      <c r="R783" s="4">
        <v>42733</v>
      </c>
      <c r="S783" s="2">
        <v>42735</v>
      </c>
      <c r="T783" s="2">
        <v>42733</v>
      </c>
      <c r="U783" s="4">
        <v>42793</v>
      </c>
      <c r="V783" t="s">
        <v>71</v>
      </c>
      <c r="W783" t="str">
        <f>"              167/PA"</f>
        <v xml:space="preserve">              167/PA</v>
      </c>
      <c r="X783" s="1">
        <v>5260.88</v>
      </c>
      <c r="Y783">
        <v>0</v>
      </c>
      <c r="Z783" s="5">
        <v>4312.2</v>
      </c>
      <c r="AA783" s="3">
        <v>2</v>
      </c>
      <c r="AB783" s="5">
        <v>8624.4</v>
      </c>
      <c r="AC783" s="1">
        <v>4312.2</v>
      </c>
      <c r="AD783">
        <v>2</v>
      </c>
      <c r="AE783" s="1">
        <v>8624.4</v>
      </c>
      <c r="AF783">
        <v>948.68</v>
      </c>
      <c r="AJ783">
        <v>0</v>
      </c>
      <c r="AK783">
        <v>0</v>
      </c>
      <c r="AL783">
        <v>0</v>
      </c>
      <c r="AM783">
        <v>0</v>
      </c>
      <c r="AN783">
        <v>0</v>
      </c>
      <c r="AO783">
        <v>0</v>
      </c>
      <c r="AP783" s="2">
        <v>42831</v>
      </c>
      <c r="AQ783" t="s">
        <v>72</v>
      </c>
      <c r="AR783" t="s">
        <v>72</v>
      </c>
      <c r="AS783">
        <v>668</v>
      </c>
      <c r="AT783" s="4">
        <v>42795</v>
      </c>
      <c r="AU783" t="s">
        <v>73</v>
      </c>
      <c r="AV783">
        <v>668</v>
      </c>
      <c r="AW783" s="4">
        <v>42795</v>
      </c>
      <c r="AY783">
        <v>948.68</v>
      </c>
      <c r="BD783">
        <v>0</v>
      </c>
      <c r="BN783" t="s">
        <v>74</v>
      </c>
    </row>
    <row r="784" spans="1:66">
      <c r="A784">
        <v>100984</v>
      </c>
      <c r="B784" t="s">
        <v>219</v>
      </c>
      <c r="C784" s="1">
        <v>43300101</v>
      </c>
      <c r="D784" t="s">
        <v>67</v>
      </c>
      <c r="H784" t="str">
        <f>"01402120628"</f>
        <v>01402120628</v>
      </c>
      <c r="I784" t="str">
        <f>"01402120628"</f>
        <v>01402120628</v>
      </c>
      <c r="K784" t="str">
        <f>""</f>
        <v/>
      </c>
      <c r="M784" t="s">
        <v>68</v>
      </c>
      <c r="N784" t="str">
        <f t="shared" si="98"/>
        <v>FOR</v>
      </c>
      <c r="O784" t="s">
        <v>69</v>
      </c>
      <c r="P784" t="s">
        <v>75</v>
      </c>
      <c r="Q784">
        <v>2016</v>
      </c>
      <c r="R784" s="4">
        <v>42592</v>
      </c>
      <c r="S784" s="2">
        <v>42592</v>
      </c>
      <c r="T784" s="2">
        <v>42592</v>
      </c>
      <c r="U784" s="4">
        <v>42652</v>
      </c>
      <c r="V784" t="s">
        <v>71</v>
      </c>
      <c r="W784" t="str">
        <f>"                30/A"</f>
        <v xml:space="preserve">                30/A</v>
      </c>
      <c r="X784">
        <v>617.63</v>
      </c>
      <c r="Y784">
        <v>0</v>
      </c>
      <c r="Z784" s="5">
        <v>506.25</v>
      </c>
      <c r="AA784" s="3">
        <v>120</v>
      </c>
      <c r="AB784" s="5">
        <v>60750</v>
      </c>
      <c r="AC784">
        <v>506.25</v>
      </c>
      <c r="AD784">
        <v>120</v>
      </c>
      <c r="AE784" s="1">
        <v>60750</v>
      </c>
      <c r="AF784">
        <v>111.38</v>
      </c>
      <c r="AJ784">
        <v>0</v>
      </c>
      <c r="AK784">
        <v>0</v>
      </c>
      <c r="AL784">
        <v>0</v>
      </c>
      <c r="AM784">
        <v>0</v>
      </c>
      <c r="AN784">
        <v>0</v>
      </c>
      <c r="AO784">
        <v>0</v>
      </c>
      <c r="AP784" s="2">
        <v>42831</v>
      </c>
      <c r="AQ784" t="s">
        <v>72</v>
      </c>
      <c r="AR784" t="s">
        <v>72</v>
      </c>
      <c r="AS784">
        <v>292</v>
      </c>
      <c r="AT784" s="4">
        <v>42772</v>
      </c>
      <c r="AU784" t="s">
        <v>73</v>
      </c>
      <c r="AV784">
        <v>292</v>
      </c>
      <c r="AW784" s="4">
        <v>42772</v>
      </c>
      <c r="BC784">
        <v>111.38</v>
      </c>
      <c r="BD784">
        <v>0</v>
      </c>
      <c r="BN784" t="s">
        <v>74</v>
      </c>
    </row>
    <row r="785" spans="1:66">
      <c r="A785">
        <v>100984</v>
      </c>
      <c r="B785" t="s">
        <v>219</v>
      </c>
      <c r="C785" s="1">
        <v>43300101</v>
      </c>
      <c r="D785" t="s">
        <v>67</v>
      </c>
      <c r="H785" t="str">
        <f>"01402120628"</f>
        <v>01402120628</v>
      </c>
      <c r="I785" t="str">
        <f>"01402120628"</f>
        <v>01402120628</v>
      </c>
      <c r="K785" t="str">
        <f>""</f>
        <v/>
      </c>
      <c r="M785" t="s">
        <v>68</v>
      </c>
      <c r="N785" t="str">
        <f t="shared" si="98"/>
        <v>FOR</v>
      </c>
      <c r="O785" t="s">
        <v>69</v>
      </c>
      <c r="P785" t="s">
        <v>75</v>
      </c>
      <c r="Q785">
        <v>2016</v>
      </c>
      <c r="R785" s="4">
        <v>42643</v>
      </c>
      <c r="S785" s="2">
        <v>42664</v>
      </c>
      <c r="T785" s="2">
        <v>42663</v>
      </c>
      <c r="U785" s="4">
        <v>42723</v>
      </c>
      <c r="V785" t="s">
        <v>71</v>
      </c>
      <c r="W785" t="str">
        <f>"                32/A"</f>
        <v xml:space="preserve">                32/A</v>
      </c>
      <c r="X785">
        <v>292.8</v>
      </c>
      <c r="Y785">
        <v>0</v>
      </c>
      <c r="Z785" s="5">
        <v>240</v>
      </c>
      <c r="AA785" s="3">
        <v>49</v>
      </c>
      <c r="AB785" s="5">
        <v>11760</v>
      </c>
      <c r="AC785">
        <v>240</v>
      </c>
      <c r="AD785">
        <v>49</v>
      </c>
      <c r="AE785" s="1">
        <v>11760</v>
      </c>
      <c r="AF785">
        <v>52.8</v>
      </c>
      <c r="AJ785">
        <v>0</v>
      </c>
      <c r="AK785">
        <v>0</v>
      </c>
      <c r="AL785">
        <v>0</v>
      </c>
      <c r="AM785">
        <v>0</v>
      </c>
      <c r="AN785">
        <v>0</v>
      </c>
      <c r="AO785">
        <v>0</v>
      </c>
      <c r="AP785" s="2">
        <v>42831</v>
      </c>
      <c r="AQ785" t="s">
        <v>72</v>
      </c>
      <c r="AR785" t="s">
        <v>72</v>
      </c>
      <c r="AS785">
        <v>292</v>
      </c>
      <c r="AT785" s="4">
        <v>42772</v>
      </c>
      <c r="AU785" t="s">
        <v>73</v>
      </c>
      <c r="AV785">
        <v>292</v>
      </c>
      <c r="AW785" s="4">
        <v>42772</v>
      </c>
      <c r="BA785">
        <v>52.8</v>
      </c>
      <c r="BD785">
        <v>0</v>
      </c>
      <c r="BN785" t="s">
        <v>74</v>
      </c>
    </row>
    <row r="786" spans="1:66">
      <c r="A786">
        <v>100985</v>
      </c>
      <c r="B786" t="s">
        <v>220</v>
      </c>
      <c r="C786" s="1">
        <v>43300101</v>
      </c>
      <c r="D786" t="s">
        <v>67</v>
      </c>
      <c r="H786" t="str">
        <f t="shared" ref="H786:I790" si="100">"01155360322"</f>
        <v>01155360322</v>
      </c>
      <c r="I786" t="str">
        <f t="shared" si="100"/>
        <v>01155360322</v>
      </c>
      <c r="K786" t="str">
        <f>""</f>
        <v/>
      </c>
      <c r="M786" t="s">
        <v>68</v>
      </c>
      <c r="N786" t="str">
        <f t="shared" si="98"/>
        <v>FOR</v>
      </c>
      <c r="O786" t="s">
        <v>69</v>
      </c>
      <c r="P786" t="s">
        <v>75</v>
      </c>
      <c r="Q786">
        <v>2016</v>
      </c>
      <c r="R786" s="4">
        <v>42507</v>
      </c>
      <c r="S786" s="2">
        <v>42509</v>
      </c>
      <c r="T786" s="2">
        <v>42508</v>
      </c>
      <c r="U786" s="4">
        <v>42568</v>
      </c>
      <c r="V786" t="s">
        <v>71</v>
      </c>
      <c r="W786" t="str">
        <f>"             2000493"</f>
        <v xml:space="preserve">             2000493</v>
      </c>
      <c r="X786" s="1">
        <v>11291.59</v>
      </c>
      <c r="Y786">
        <v>0</v>
      </c>
      <c r="Z786" s="5">
        <v>9255.4</v>
      </c>
      <c r="AA786" s="3">
        <v>205</v>
      </c>
      <c r="AB786" s="5">
        <v>1897357</v>
      </c>
      <c r="AC786" s="1">
        <v>9255.4</v>
      </c>
      <c r="AD786">
        <v>205</v>
      </c>
      <c r="AE786" s="1">
        <v>1897357</v>
      </c>
      <c r="AF786">
        <v>0</v>
      </c>
      <c r="AJ786">
        <v>0</v>
      </c>
      <c r="AK786">
        <v>0</v>
      </c>
      <c r="AL786">
        <v>0</v>
      </c>
      <c r="AM786">
        <v>0</v>
      </c>
      <c r="AN786">
        <v>0</v>
      </c>
      <c r="AO786">
        <v>0</v>
      </c>
      <c r="AP786" s="2">
        <v>42831</v>
      </c>
      <c r="AQ786" t="s">
        <v>72</v>
      </c>
      <c r="AR786" t="s">
        <v>72</v>
      </c>
      <c r="AS786">
        <v>307</v>
      </c>
      <c r="AT786" s="4">
        <v>42773</v>
      </c>
      <c r="AU786" t="s">
        <v>73</v>
      </c>
      <c r="AV786">
        <v>307</v>
      </c>
      <c r="AW786" s="4">
        <v>42773</v>
      </c>
      <c r="BD786">
        <v>0</v>
      </c>
      <c r="BN786" t="s">
        <v>74</v>
      </c>
    </row>
    <row r="787" spans="1:66">
      <c r="A787">
        <v>100985</v>
      </c>
      <c r="B787" t="s">
        <v>220</v>
      </c>
      <c r="C787" s="1">
        <v>43300101</v>
      </c>
      <c r="D787" t="s">
        <v>67</v>
      </c>
      <c r="H787" t="str">
        <f t="shared" si="100"/>
        <v>01155360322</v>
      </c>
      <c r="I787" t="str">
        <f t="shared" si="100"/>
        <v>01155360322</v>
      </c>
      <c r="K787" t="str">
        <f>""</f>
        <v/>
      </c>
      <c r="M787" t="s">
        <v>68</v>
      </c>
      <c r="N787" t="str">
        <f t="shared" si="98"/>
        <v>FOR</v>
      </c>
      <c r="O787" t="s">
        <v>69</v>
      </c>
      <c r="P787" t="s">
        <v>75</v>
      </c>
      <c r="Q787">
        <v>2016</v>
      </c>
      <c r="R787" s="4">
        <v>42507</v>
      </c>
      <c r="S787" s="2">
        <v>42509</v>
      </c>
      <c r="T787" s="2">
        <v>42508</v>
      </c>
      <c r="U787" s="4">
        <v>42568</v>
      </c>
      <c r="V787" t="s">
        <v>71</v>
      </c>
      <c r="W787" t="str">
        <f>"             2000494"</f>
        <v xml:space="preserve">             2000494</v>
      </c>
      <c r="X787" s="1">
        <v>29560.6</v>
      </c>
      <c r="Y787">
        <v>0</v>
      </c>
      <c r="Z787" s="5">
        <v>24230</v>
      </c>
      <c r="AA787" s="3">
        <v>205</v>
      </c>
      <c r="AB787" s="5">
        <v>4967150</v>
      </c>
      <c r="AC787" s="1">
        <v>24230</v>
      </c>
      <c r="AD787">
        <v>205</v>
      </c>
      <c r="AE787" s="1">
        <v>4967150</v>
      </c>
      <c r="AF787">
        <v>0</v>
      </c>
      <c r="AJ787">
        <v>0</v>
      </c>
      <c r="AK787">
        <v>0</v>
      </c>
      <c r="AL787">
        <v>0</v>
      </c>
      <c r="AM787">
        <v>0</v>
      </c>
      <c r="AN787">
        <v>0</v>
      </c>
      <c r="AO787">
        <v>0</v>
      </c>
      <c r="AP787" s="2">
        <v>42831</v>
      </c>
      <c r="AQ787" t="s">
        <v>72</v>
      </c>
      <c r="AR787" t="s">
        <v>72</v>
      </c>
      <c r="AS787">
        <v>307</v>
      </c>
      <c r="AT787" s="4">
        <v>42773</v>
      </c>
      <c r="AU787" t="s">
        <v>73</v>
      </c>
      <c r="AV787">
        <v>307</v>
      </c>
      <c r="AW787" s="4">
        <v>42773</v>
      </c>
      <c r="BD787">
        <v>0</v>
      </c>
      <c r="BN787" t="s">
        <v>74</v>
      </c>
    </row>
    <row r="788" spans="1:66">
      <c r="A788">
        <v>100985</v>
      </c>
      <c r="B788" t="s">
        <v>220</v>
      </c>
      <c r="C788" s="1">
        <v>43300101</v>
      </c>
      <c r="D788" t="s">
        <v>67</v>
      </c>
      <c r="H788" t="str">
        <f t="shared" si="100"/>
        <v>01155360322</v>
      </c>
      <c r="I788" t="str">
        <f t="shared" si="100"/>
        <v>01155360322</v>
      </c>
      <c r="K788" t="str">
        <f>""</f>
        <v/>
      </c>
      <c r="M788" t="s">
        <v>68</v>
      </c>
      <c r="N788" t="str">
        <f t="shared" si="98"/>
        <v>FOR</v>
      </c>
      <c r="O788" t="s">
        <v>69</v>
      </c>
      <c r="P788" t="s">
        <v>75</v>
      </c>
      <c r="Q788">
        <v>2016</v>
      </c>
      <c r="R788" s="4">
        <v>42507</v>
      </c>
      <c r="S788" s="2">
        <v>42509</v>
      </c>
      <c r="T788" s="2">
        <v>42508</v>
      </c>
      <c r="U788" s="4">
        <v>42568</v>
      </c>
      <c r="V788" t="s">
        <v>71</v>
      </c>
      <c r="W788" t="str">
        <f>"             2000495"</f>
        <v xml:space="preserve">             2000495</v>
      </c>
      <c r="X788" s="1">
        <v>34344.22</v>
      </c>
      <c r="Y788">
        <v>0</v>
      </c>
      <c r="Z788" s="5">
        <v>28151</v>
      </c>
      <c r="AA788" s="3">
        <v>205</v>
      </c>
      <c r="AB788" s="5">
        <v>5770955</v>
      </c>
      <c r="AC788" s="1">
        <v>28151</v>
      </c>
      <c r="AD788">
        <v>205</v>
      </c>
      <c r="AE788" s="1">
        <v>5770955</v>
      </c>
      <c r="AF788">
        <v>0</v>
      </c>
      <c r="AJ788">
        <v>0</v>
      </c>
      <c r="AK788">
        <v>0</v>
      </c>
      <c r="AL788">
        <v>0</v>
      </c>
      <c r="AM788">
        <v>0</v>
      </c>
      <c r="AN788">
        <v>0</v>
      </c>
      <c r="AO788">
        <v>0</v>
      </c>
      <c r="AP788" s="2">
        <v>42831</v>
      </c>
      <c r="AQ788" t="s">
        <v>72</v>
      </c>
      <c r="AR788" t="s">
        <v>72</v>
      </c>
      <c r="AS788">
        <v>307</v>
      </c>
      <c r="AT788" s="4">
        <v>42773</v>
      </c>
      <c r="AU788" t="s">
        <v>73</v>
      </c>
      <c r="AV788">
        <v>307</v>
      </c>
      <c r="AW788" s="4">
        <v>42773</v>
      </c>
      <c r="BD788">
        <v>0</v>
      </c>
      <c r="BN788" t="s">
        <v>74</v>
      </c>
    </row>
    <row r="789" spans="1:66">
      <c r="A789">
        <v>100985</v>
      </c>
      <c r="B789" t="s">
        <v>220</v>
      </c>
      <c r="C789" s="1">
        <v>43300101</v>
      </c>
      <c r="D789" t="s">
        <v>67</v>
      </c>
      <c r="H789" t="str">
        <f t="shared" si="100"/>
        <v>01155360322</v>
      </c>
      <c r="I789" t="str">
        <f t="shared" si="100"/>
        <v>01155360322</v>
      </c>
      <c r="K789" t="str">
        <f>""</f>
        <v/>
      </c>
      <c r="M789" t="s">
        <v>68</v>
      </c>
      <c r="N789" t="str">
        <f t="shared" si="98"/>
        <v>FOR</v>
      </c>
      <c r="O789" t="s">
        <v>69</v>
      </c>
      <c r="P789" t="s">
        <v>75</v>
      </c>
      <c r="Q789">
        <v>2016</v>
      </c>
      <c r="R789" s="4">
        <v>42642</v>
      </c>
      <c r="S789" s="2">
        <v>42643</v>
      </c>
      <c r="T789" s="2">
        <v>42643</v>
      </c>
      <c r="U789" s="4">
        <v>42703</v>
      </c>
      <c r="V789" t="s">
        <v>71</v>
      </c>
      <c r="W789" t="str">
        <f>"             2001101"</f>
        <v xml:space="preserve">             2001101</v>
      </c>
      <c r="X789">
        <v>976</v>
      </c>
      <c r="Y789">
        <v>0</v>
      </c>
      <c r="Z789" s="5">
        <v>800</v>
      </c>
      <c r="AA789" s="3">
        <v>70</v>
      </c>
      <c r="AB789" s="5">
        <v>56000</v>
      </c>
      <c r="AC789">
        <v>800</v>
      </c>
      <c r="AD789">
        <v>70</v>
      </c>
      <c r="AE789" s="1">
        <v>56000</v>
      </c>
      <c r="AF789">
        <v>0</v>
      </c>
      <c r="AJ789">
        <v>0</v>
      </c>
      <c r="AK789">
        <v>0</v>
      </c>
      <c r="AL789">
        <v>0</v>
      </c>
      <c r="AM789">
        <v>0</v>
      </c>
      <c r="AN789">
        <v>0</v>
      </c>
      <c r="AO789">
        <v>0</v>
      </c>
      <c r="AP789" s="2">
        <v>42831</v>
      </c>
      <c r="AQ789" t="s">
        <v>72</v>
      </c>
      <c r="AR789" t="s">
        <v>72</v>
      </c>
      <c r="AS789">
        <v>306</v>
      </c>
      <c r="AT789" s="4">
        <v>42773</v>
      </c>
      <c r="AU789" t="s">
        <v>73</v>
      </c>
      <c r="AV789">
        <v>306</v>
      </c>
      <c r="AW789" s="4">
        <v>42773</v>
      </c>
      <c r="BD789">
        <v>0</v>
      </c>
      <c r="BN789" t="s">
        <v>74</v>
      </c>
    </row>
    <row r="790" spans="1:66">
      <c r="A790">
        <v>100985</v>
      </c>
      <c r="B790" t="s">
        <v>220</v>
      </c>
      <c r="C790" s="1">
        <v>43300101</v>
      </c>
      <c r="D790" t="s">
        <v>67</v>
      </c>
      <c r="H790" t="str">
        <f t="shared" si="100"/>
        <v>01155360322</v>
      </c>
      <c r="I790" t="str">
        <f t="shared" si="100"/>
        <v>01155360322</v>
      </c>
      <c r="K790" t="str">
        <f>""</f>
        <v/>
      </c>
      <c r="M790" t="s">
        <v>68</v>
      </c>
      <c r="N790" t="str">
        <f t="shared" si="98"/>
        <v>FOR</v>
      </c>
      <c r="O790" t="s">
        <v>69</v>
      </c>
      <c r="P790" t="s">
        <v>70</v>
      </c>
      <c r="Q790">
        <v>2016</v>
      </c>
      <c r="R790" s="4">
        <v>42642</v>
      </c>
      <c r="S790" s="2">
        <v>42646</v>
      </c>
      <c r="T790" s="2">
        <v>42646</v>
      </c>
      <c r="U790" s="4">
        <v>42706</v>
      </c>
      <c r="V790" t="s">
        <v>71</v>
      </c>
      <c r="W790" t="str">
        <f>"             2001102"</f>
        <v xml:space="preserve">             2001102</v>
      </c>
      <c r="X790" s="1">
        <v>3501.4</v>
      </c>
      <c r="Y790">
        <v>0</v>
      </c>
      <c r="Z790" s="5">
        <v>2870</v>
      </c>
      <c r="AA790" s="3">
        <v>67</v>
      </c>
      <c r="AB790" s="5">
        <v>192290</v>
      </c>
      <c r="AC790" s="1">
        <v>2870</v>
      </c>
      <c r="AD790">
        <v>67</v>
      </c>
      <c r="AE790" s="1">
        <v>192290</v>
      </c>
      <c r="AF790">
        <v>0</v>
      </c>
      <c r="AJ790">
        <v>0</v>
      </c>
      <c r="AK790">
        <v>0</v>
      </c>
      <c r="AL790">
        <v>0</v>
      </c>
      <c r="AM790">
        <v>0</v>
      </c>
      <c r="AN790">
        <v>0</v>
      </c>
      <c r="AO790">
        <v>0</v>
      </c>
      <c r="AP790" s="2">
        <v>42831</v>
      </c>
      <c r="AQ790" t="s">
        <v>72</v>
      </c>
      <c r="AR790" t="s">
        <v>72</v>
      </c>
      <c r="AS790">
        <v>307</v>
      </c>
      <c r="AT790" s="4">
        <v>42773</v>
      </c>
      <c r="AU790" t="s">
        <v>73</v>
      </c>
      <c r="AV790">
        <v>307</v>
      </c>
      <c r="AW790" s="4">
        <v>42773</v>
      </c>
      <c r="BD790">
        <v>0</v>
      </c>
      <c r="BN790" t="s">
        <v>74</v>
      </c>
    </row>
    <row r="791" spans="1:66">
      <c r="A791">
        <v>100987</v>
      </c>
      <c r="B791" t="s">
        <v>221</v>
      </c>
      <c r="C791" s="1">
        <v>43300101</v>
      </c>
      <c r="D791" t="s">
        <v>67</v>
      </c>
      <c r="H791" t="str">
        <f t="shared" ref="H791:I796" si="101">"01147640625"</f>
        <v>01147640625</v>
      </c>
      <c r="I791" t="str">
        <f t="shared" si="101"/>
        <v>01147640625</v>
      </c>
      <c r="K791" t="str">
        <f>""</f>
        <v/>
      </c>
      <c r="M791" t="s">
        <v>68</v>
      </c>
      <c r="N791" t="str">
        <f t="shared" si="98"/>
        <v>FOR</v>
      </c>
      <c r="O791" t="s">
        <v>69</v>
      </c>
      <c r="P791" t="s">
        <v>75</v>
      </c>
      <c r="Q791">
        <v>2016</v>
      </c>
      <c r="R791" s="4">
        <v>42569</v>
      </c>
      <c r="S791" s="2">
        <v>42577</v>
      </c>
      <c r="T791" s="2">
        <v>42569</v>
      </c>
      <c r="U791" s="4">
        <v>42629</v>
      </c>
      <c r="V791" t="s">
        <v>71</v>
      </c>
      <c r="W791" t="str">
        <f>"          PA  000019"</f>
        <v xml:space="preserve">          PA  000019</v>
      </c>
      <c r="X791">
        <v>95</v>
      </c>
      <c r="Y791">
        <v>0</v>
      </c>
      <c r="Z791" s="5">
        <v>77.87</v>
      </c>
      <c r="AA791" s="3">
        <v>143</v>
      </c>
      <c r="AB791" s="5">
        <v>11135.41</v>
      </c>
      <c r="AC791">
        <v>77.87</v>
      </c>
      <c r="AD791">
        <v>143</v>
      </c>
      <c r="AE791" s="1">
        <v>11135.41</v>
      </c>
      <c r="AF791">
        <v>17.13</v>
      </c>
      <c r="AJ791">
        <v>0</v>
      </c>
      <c r="AK791">
        <v>0</v>
      </c>
      <c r="AL791">
        <v>0</v>
      </c>
      <c r="AM791">
        <v>0</v>
      </c>
      <c r="AN791">
        <v>0</v>
      </c>
      <c r="AO791">
        <v>0</v>
      </c>
      <c r="AP791" s="2">
        <v>42831</v>
      </c>
      <c r="AQ791" t="s">
        <v>72</v>
      </c>
      <c r="AR791" t="s">
        <v>72</v>
      </c>
      <c r="AS791">
        <v>292</v>
      </c>
      <c r="AT791" s="4">
        <v>42772</v>
      </c>
      <c r="AU791" t="s">
        <v>73</v>
      </c>
      <c r="AV791">
        <v>292</v>
      </c>
      <c r="AW791" s="4">
        <v>42772</v>
      </c>
      <c r="BD791">
        <v>17.13</v>
      </c>
      <c r="BN791" t="s">
        <v>74</v>
      </c>
    </row>
    <row r="792" spans="1:66">
      <c r="A792">
        <v>100987</v>
      </c>
      <c r="B792" t="s">
        <v>221</v>
      </c>
      <c r="C792" s="1">
        <v>43300101</v>
      </c>
      <c r="D792" t="s">
        <v>67</v>
      </c>
      <c r="H792" t="str">
        <f t="shared" si="101"/>
        <v>01147640625</v>
      </c>
      <c r="I792" t="str">
        <f t="shared" si="101"/>
        <v>01147640625</v>
      </c>
      <c r="K792" t="str">
        <f>""</f>
        <v/>
      </c>
      <c r="M792" t="s">
        <v>68</v>
      </c>
      <c r="N792" t="str">
        <f t="shared" si="98"/>
        <v>FOR</v>
      </c>
      <c r="O792" t="s">
        <v>69</v>
      </c>
      <c r="P792" t="s">
        <v>75</v>
      </c>
      <c r="Q792">
        <v>2016</v>
      </c>
      <c r="R792" s="4">
        <v>42572</v>
      </c>
      <c r="S792" s="2">
        <v>42578</v>
      </c>
      <c r="T792" s="2">
        <v>42572</v>
      </c>
      <c r="U792" s="4">
        <v>42632</v>
      </c>
      <c r="V792" t="s">
        <v>71</v>
      </c>
      <c r="W792" t="str">
        <f>"          PA  000020"</f>
        <v xml:space="preserve">          PA  000020</v>
      </c>
      <c r="X792">
        <v>196</v>
      </c>
      <c r="Y792">
        <v>0</v>
      </c>
      <c r="Z792" s="5">
        <v>160.66</v>
      </c>
      <c r="AA792" s="3">
        <v>140</v>
      </c>
      <c r="AB792" s="5">
        <v>22492.400000000001</v>
      </c>
      <c r="AC792">
        <v>160.66</v>
      </c>
      <c r="AD792">
        <v>140</v>
      </c>
      <c r="AE792" s="1">
        <v>22492.400000000001</v>
      </c>
      <c r="AF792">
        <v>35.340000000000003</v>
      </c>
      <c r="AJ792">
        <v>0</v>
      </c>
      <c r="AK792">
        <v>0</v>
      </c>
      <c r="AL792">
        <v>0</v>
      </c>
      <c r="AM792">
        <v>0</v>
      </c>
      <c r="AN792">
        <v>0</v>
      </c>
      <c r="AO792">
        <v>0</v>
      </c>
      <c r="AP792" s="2">
        <v>42831</v>
      </c>
      <c r="AQ792" t="s">
        <v>72</v>
      </c>
      <c r="AR792" t="s">
        <v>72</v>
      </c>
      <c r="AS792">
        <v>292</v>
      </c>
      <c r="AT792" s="4">
        <v>42772</v>
      </c>
      <c r="AU792" t="s">
        <v>73</v>
      </c>
      <c r="AV792">
        <v>292</v>
      </c>
      <c r="AW792" s="4">
        <v>42772</v>
      </c>
      <c r="BD792">
        <v>35.340000000000003</v>
      </c>
      <c r="BN792" t="s">
        <v>74</v>
      </c>
    </row>
    <row r="793" spans="1:66">
      <c r="A793">
        <v>100987</v>
      </c>
      <c r="B793" t="s">
        <v>221</v>
      </c>
      <c r="C793" s="1">
        <v>43300101</v>
      </c>
      <c r="D793" t="s">
        <v>67</v>
      </c>
      <c r="H793" t="str">
        <f t="shared" si="101"/>
        <v>01147640625</v>
      </c>
      <c r="I793" t="str">
        <f t="shared" si="101"/>
        <v>01147640625</v>
      </c>
      <c r="K793" t="str">
        <f>""</f>
        <v/>
      </c>
      <c r="M793" t="s">
        <v>68</v>
      </c>
      <c r="N793" t="str">
        <f t="shared" si="98"/>
        <v>FOR</v>
      </c>
      <c r="O793" t="s">
        <v>69</v>
      </c>
      <c r="P793" t="s">
        <v>75</v>
      </c>
      <c r="Q793">
        <v>2016</v>
      </c>
      <c r="R793" s="4">
        <v>42579</v>
      </c>
      <c r="S793" s="2">
        <v>42580</v>
      </c>
      <c r="T793" s="2">
        <v>42579</v>
      </c>
      <c r="U793" s="4">
        <v>42639</v>
      </c>
      <c r="V793" t="s">
        <v>71</v>
      </c>
      <c r="W793" t="str">
        <f>"          PA  000021"</f>
        <v xml:space="preserve">          PA  000021</v>
      </c>
      <c r="X793">
        <v>563.5</v>
      </c>
      <c r="Y793">
        <v>0</v>
      </c>
      <c r="Z793" s="5">
        <v>461.89</v>
      </c>
      <c r="AA793" s="3">
        <v>133</v>
      </c>
      <c r="AB793" s="5">
        <v>61431.37</v>
      </c>
      <c r="AC793">
        <v>461.89</v>
      </c>
      <c r="AD793">
        <v>133</v>
      </c>
      <c r="AE793" s="1">
        <v>61431.37</v>
      </c>
      <c r="AF793">
        <v>101.61</v>
      </c>
      <c r="AJ793">
        <v>0</v>
      </c>
      <c r="AK793">
        <v>0</v>
      </c>
      <c r="AL793">
        <v>0</v>
      </c>
      <c r="AM793">
        <v>0</v>
      </c>
      <c r="AN793">
        <v>0</v>
      </c>
      <c r="AO793">
        <v>0</v>
      </c>
      <c r="AP793" s="2">
        <v>42831</v>
      </c>
      <c r="AQ793" t="s">
        <v>72</v>
      </c>
      <c r="AR793" t="s">
        <v>72</v>
      </c>
      <c r="AS793">
        <v>292</v>
      </c>
      <c r="AT793" s="4">
        <v>42772</v>
      </c>
      <c r="AU793" t="s">
        <v>73</v>
      </c>
      <c r="AV793">
        <v>292</v>
      </c>
      <c r="AW793" s="4">
        <v>42772</v>
      </c>
      <c r="BD793">
        <v>101.61</v>
      </c>
      <c r="BN793" t="s">
        <v>74</v>
      </c>
    </row>
    <row r="794" spans="1:66">
      <c r="A794">
        <v>100987</v>
      </c>
      <c r="B794" t="s">
        <v>221</v>
      </c>
      <c r="C794" s="1">
        <v>43300101</v>
      </c>
      <c r="D794" t="s">
        <v>67</v>
      </c>
      <c r="H794" t="str">
        <f t="shared" si="101"/>
        <v>01147640625</v>
      </c>
      <c r="I794" t="str">
        <f t="shared" si="101"/>
        <v>01147640625</v>
      </c>
      <c r="K794" t="str">
        <f>""</f>
        <v/>
      </c>
      <c r="M794" t="s">
        <v>68</v>
      </c>
      <c r="N794" t="str">
        <f t="shared" si="98"/>
        <v>FOR</v>
      </c>
      <c r="O794" t="s">
        <v>69</v>
      </c>
      <c r="P794" t="s">
        <v>75</v>
      </c>
      <c r="Q794">
        <v>2016</v>
      </c>
      <c r="R794" s="4">
        <v>42612</v>
      </c>
      <c r="S794" s="2">
        <v>42612</v>
      </c>
      <c r="T794" s="2">
        <v>42612</v>
      </c>
      <c r="U794" s="4">
        <v>42672</v>
      </c>
      <c r="V794" t="s">
        <v>71</v>
      </c>
      <c r="W794" t="str">
        <f>"          PA  000024"</f>
        <v xml:space="preserve">          PA  000024</v>
      </c>
      <c r="X794">
        <v>225</v>
      </c>
      <c r="Y794">
        <v>0</v>
      </c>
      <c r="Z794" s="5">
        <v>184.43</v>
      </c>
      <c r="AA794" s="3">
        <v>100</v>
      </c>
      <c r="AB794" s="5">
        <v>18443</v>
      </c>
      <c r="AC794">
        <v>184.43</v>
      </c>
      <c r="AD794">
        <v>100</v>
      </c>
      <c r="AE794" s="1">
        <v>18443</v>
      </c>
      <c r="AF794">
        <v>40.57</v>
      </c>
      <c r="AJ794">
        <v>0</v>
      </c>
      <c r="AK794">
        <v>0</v>
      </c>
      <c r="AL794">
        <v>0</v>
      </c>
      <c r="AM794">
        <v>0</v>
      </c>
      <c r="AN794">
        <v>0</v>
      </c>
      <c r="AO794">
        <v>0</v>
      </c>
      <c r="AP794" s="2">
        <v>42831</v>
      </c>
      <c r="AQ794" t="s">
        <v>72</v>
      </c>
      <c r="AR794" t="s">
        <v>72</v>
      </c>
      <c r="AS794">
        <v>292</v>
      </c>
      <c r="AT794" s="4">
        <v>42772</v>
      </c>
      <c r="AU794" t="s">
        <v>73</v>
      </c>
      <c r="AV794">
        <v>292</v>
      </c>
      <c r="AW794" s="4">
        <v>42772</v>
      </c>
      <c r="BC794">
        <v>40.57</v>
      </c>
      <c r="BD794">
        <v>0</v>
      </c>
      <c r="BN794" t="s">
        <v>74</v>
      </c>
    </row>
    <row r="795" spans="1:66">
      <c r="A795">
        <v>100987</v>
      </c>
      <c r="B795" t="s">
        <v>221</v>
      </c>
      <c r="C795" s="1">
        <v>43300101</v>
      </c>
      <c r="D795" t="s">
        <v>67</v>
      </c>
      <c r="H795" t="str">
        <f t="shared" si="101"/>
        <v>01147640625</v>
      </c>
      <c r="I795" t="str">
        <f t="shared" si="101"/>
        <v>01147640625</v>
      </c>
      <c r="K795" t="str">
        <f>""</f>
        <v/>
      </c>
      <c r="M795" t="s">
        <v>68</v>
      </c>
      <c r="N795" t="str">
        <f t="shared" si="98"/>
        <v>FOR</v>
      </c>
      <c r="O795" t="s">
        <v>69</v>
      </c>
      <c r="P795" t="s">
        <v>75</v>
      </c>
      <c r="Q795">
        <v>2016</v>
      </c>
      <c r="R795" s="4">
        <v>42629</v>
      </c>
      <c r="S795" s="2">
        <v>42632</v>
      </c>
      <c r="T795" s="2">
        <v>42629</v>
      </c>
      <c r="U795" s="4">
        <v>42689</v>
      </c>
      <c r="V795" t="s">
        <v>71</v>
      </c>
      <c r="W795" t="str">
        <f>"          PA  000025"</f>
        <v xml:space="preserve">          PA  000025</v>
      </c>
      <c r="X795">
        <v>452</v>
      </c>
      <c r="Y795">
        <v>0</v>
      </c>
      <c r="Z795" s="5">
        <v>370.49</v>
      </c>
      <c r="AA795" s="3">
        <v>83</v>
      </c>
      <c r="AB795" s="5">
        <v>30750.67</v>
      </c>
      <c r="AC795">
        <v>370.49</v>
      </c>
      <c r="AD795">
        <v>83</v>
      </c>
      <c r="AE795" s="1">
        <v>30750.67</v>
      </c>
      <c r="AF795">
        <v>81.510000000000005</v>
      </c>
      <c r="AJ795">
        <v>0</v>
      </c>
      <c r="AK795">
        <v>0</v>
      </c>
      <c r="AL795">
        <v>0</v>
      </c>
      <c r="AM795">
        <v>0</v>
      </c>
      <c r="AN795">
        <v>0</v>
      </c>
      <c r="AO795">
        <v>0</v>
      </c>
      <c r="AP795" s="2">
        <v>42831</v>
      </c>
      <c r="AQ795" t="s">
        <v>72</v>
      </c>
      <c r="AR795" t="s">
        <v>72</v>
      </c>
      <c r="AS795">
        <v>292</v>
      </c>
      <c r="AT795" s="4">
        <v>42772</v>
      </c>
      <c r="AU795" t="s">
        <v>73</v>
      </c>
      <c r="AV795">
        <v>292</v>
      </c>
      <c r="AW795" s="4">
        <v>42772</v>
      </c>
      <c r="BB795">
        <v>81.510000000000005</v>
      </c>
      <c r="BD795">
        <v>0</v>
      </c>
      <c r="BN795" t="s">
        <v>74</v>
      </c>
    </row>
    <row r="796" spans="1:66">
      <c r="A796">
        <v>100987</v>
      </c>
      <c r="B796" t="s">
        <v>221</v>
      </c>
      <c r="C796" s="1">
        <v>43300101</v>
      </c>
      <c r="D796" t="s">
        <v>67</v>
      </c>
      <c r="H796" t="str">
        <f t="shared" si="101"/>
        <v>01147640625</v>
      </c>
      <c r="I796" t="str">
        <f t="shared" si="101"/>
        <v>01147640625</v>
      </c>
      <c r="K796" t="str">
        <f>""</f>
        <v/>
      </c>
      <c r="M796" t="s">
        <v>68</v>
      </c>
      <c r="N796" t="str">
        <f t="shared" si="98"/>
        <v>FOR</v>
      </c>
      <c r="O796" t="s">
        <v>69</v>
      </c>
      <c r="P796" t="s">
        <v>75</v>
      </c>
      <c r="Q796">
        <v>2016</v>
      </c>
      <c r="R796" s="4">
        <v>42670</v>
      </c>
      <c r="S796" s="2">
        <v>42671</v>
      </c>
      <c r="T796" s="2">
        <v>42670</v>
      </c>
      <c r="U796" s="4">
        <v>42730</v>
      </c>
      <c r="V796" t="s">
        <v>71</v>
      </c>
      <c r="W796" t="str">
        <f>"          PA  000029"</f>
        <v xml:space="preserve">          PA  000029</v>
      </c>
      <c r="X796">
        <v>887.5</v>
      </c>
      <c r="Y796">
        <v>0</v>
      </c>
      <c r="Z796" s="5">
        <v>727.46</v>
      </c>
      <c r="AA796" s="3">
        <v>42</v>
      </c>
      <c r="AB796" s="5">
        <v>30553.32</v>
      </c>
      <c r="AC796">
        <v>727.46</v>
      </c>
      <c r="AD796">
        <v>42</v>
      </c>
      <c r="AE796" s="1">
        <v>30553.32</v>
      </c>
      <c r="AF796">
        <v>160.04</v>
      </c>
      <c r="AJ796">
        <v>0</v>
      </c>
      <c r="AK796">
        <v>0</v>
      </c>
      <c r="AL796">
        <v>0</v>
      </c>
      <c r="AM796">
        <v>0</v>
      </c>
      <c r="AN796">
        <v>0</v>
      </c>
      <c r="AO796">
        <v>0</v>
      </c>
      <c r="AP796" s="2">
        <v>42831</v>
      </c>
      <c r="AQ796" t="s">
        <v>72</v>
      </c>
      <c r="AR796" t="s">
        <v>72</v>
      </c>
      <c r="AS796">
        <v>292</v>
      </c>
      <c r="AT796" s="4">
        <v>42772</v>
      </c>
      <c r="AU796" t="s">
        <v>73</v>
      </c>
      <c r="AV796">
        <v>292</v>
      </c>
      <c r="AW796" s="4">
        <v>42772</v>
      </c>
      <c r="BA796">
        <v>160.04</v>
      </c>
      <c r="BD796">
        <v>0</v>
      </c>
      <c r="BN796" t="s">
        <v>74</v>
      </c>
    </row>
    <row r="797" spans="1:66">
      <c r="A797">
        <v>100996</v>
      </c>
      <c r="B797" t="s">
        <v>222</v>
      </c>
      <c r="C797" s="1">
        <v>43300101</v>
      </c>
      <c r="D797" t="s">
        <v>67</v>
      </c>
      <c r="H797" t="str">
        <f t="shared" ref="H797:H811" si="102">"RRORCR53R19A783X"</f>
        <v>RRORCR53R19A783X</v>
      </c>
      <c r="I797" t="str">
        <f t="shared" ref="I797:I811" si="103">"00610690620"</f>
        <v>00610690620</v>
      </c>
      <c r="K797" t="str">
        <f>""</f>
        <v/>
      </c>
      <c r="M797" t="s">
        <v>68</v>
      </c>
      <c r="N797" t="str">
        <f t="shared" si="98"/>
        <v>FOR</v>
      </c>
      <c r="O797" t="s">
        <v>69</v>
      </c>
      <c r="P797" t="s">
        <v>75</v>
      </c>
      <c r="Q797">
        <v>2016</v>
      </c>
      <c r="R797" s="4">
        <v>42383</v>
      </c>
      <c r="S797" s="2">
        <v>42384</v>
      </c>
      <c r="T797" s="2">
        <v>42384</v>
      </c>
      <c r="U797" s="4">
        <v>42444</v>
      </c>
      <c r="V797" t="s">
        <v>71</v>
      </c>
      <c r="W797" t="str">
        <f>"     002-2016-ELETTR"</f>
        <v xml:space="preserve">     002-2016-ELETTR</v>
      </c>
      <c r="X797">
        <v>250.28</v>
      </c>
      <c r="Y797">
        <v>0</v>
      </c>
      <c r="Z797" s="5">
        <v>210.23</v>
      </c>
      <c r="AA797" s="3">
        <v>328</v>
      </c>
      <c r="AB797" s="5">
        <v>68955.44</v>
      </c>
      <c r="AC797">
        <v>210.23</v>
      </c>
      <c r="AD797">
        <v>328</v>
      </c>
      <c r="AE797" s="1">
        <v>68955.44</v>
      </c>
      <c r="AF797">
        <v>40.049999999999997</v>
      </c>
      <c r="AJ797">
        <v>0</v>
      </c>
      <c r="AK797">
        <v>0</v>
      </c>
      <c r="AL797">
        <v>0</v>
      </c>
      <c r="AM797">
        <v>0</v>
      </c>
      <c r="AN797">
        <v>0</v>
      </c>
      <c r="AO797">
        <v>0</v>
      </c>
      <c r="AP797" s="2">
        <v>42831</v>
      </c>
      <c r="AQ797" t="s">
        <v>72</v>
      </c>
      <c r="AR797" t="s">
        <v>72</v>
      </c>
      <c r="AS797">
        <v>292</v>
      </c>
      <c r="AT797" s="4">
        <v>42772</v>
      </c>
      <c r="AU797" t="s">
        <v>73</v>
      </c>
      <c r="AV797">
        <v>292</v>
      </c>
      <c r="AW797" s="4">
        <v>42772</v>
      </c>
      <c r="BD797">
        <v>40.049999999999997</v>
      </c>
      <c r="BN797" t="s">
        <v>74</v>
      </c>
    </row>
    <row r="798" spans="1:66">
      <c r="A798">
        <v>100996</v>
      </c>
      <c r="B798" t="s">
        <v>222</v>
      </c>
      <c r="C798" s="1">
        <v>43300101</v>
      </c>
      <c r="D798" t="s">
        <v>67</v>
      </c>
      <c r="H798" t="str">
        <f t="shared" si="102"/>
        <v>RRORCR53R19A783X</v>
      </c>
      <c r="I798" t="str">
        <f t="shared" si="103"/>
        <v>00610690620</v>
      </c>
      <c r="K798" t="str">
        <f>""</f>
        <v/>
      </c>
      <c r="M798" t="s">
        <v>68</v>
      </c>
      <c r="N798" t="str">
        <f t="shared" si="98"/>
        <v>FOR</v>
      </c>
      <c r="O798" t="s">
        <v>69</v>
      </c>
      <c r="P798" t="s">
        <v>75</v>
      </c>
      <c r="Q798">
        <v>2016</v>
      </c>
      <c r="R798" s="4">
        <v>42447</v>
      </c>
      <c r="S798" s="2">
        <v>42460</v>
      </c>
      <c r="T798" s="2">
        <v>42447</v>
      </c>
      <c r="U798" s="4">
        <v>42507</v>
      </c>
      <c r="V798" t="s">
        <v>71</v>
      </c>
      <c r="W798" t="str">
        <f>"  000011-2016-ELETTR"</f>
        <v xml:space="preserve">  000011-2016-ELETTR</v>
      </c>
      <c r="X798">
        <v>502.01</v>
      </c>
      <c r="Y798">
        <v>0</v>
      </c>
      <c r="Z798" s="5">
        <v>418.92</v>
      </c>
      <c r="AA798" s="3">
        <v>265</v>
      </c>
      <c r="AB798" s="5">
        <v>111013.8</v>
      </c>
      <c r="AC798">
        <v>418.92</v>
      </c>
      <c r="AD798">
        <v>265</v>
      </c>
      <c r="AE798" s="1">
        <v>111013.8</v>
      </c>
      <c r="AF798">
        <v>83.09</v>
      </c>
      <c r="AJ798">
        <v>0</v>
      </c>
      <c r="AK798">
        <v>0</v>
      </c>
      <c r="AL798">
        <v>0</v>
      </c>
      <c r="AM798">
        <v>0</v>
      </c>
      <c r="AN798">
        <v>0</v>
      </c>
      <c r="AO798">
        <v>0</v>
      </c>
      <c r="AP798" s="2">
        <v>42831</v>
      </c>
      <c r="AQ798" t="s">
        <v>72</v>
      </c>
      <c r="AR798" t="s">
        <v>72</v>
      </c>
      <c r="AS798">
        <v>292</v>
      </c>
      <c r="AT798" s="4">
        <v>42772</v>
      </c>
      <c r="AU798" t="s">
        <v>73</v>
      </c>
      <c r="AV798">
        <v>292</v>
      </c>
      <c r="AW798" s="4">
        <v>42772</v>
      </c>
      <c r="BD798">
        <v>83.09</v>
      </c>
      <c r="BN798" t="s">
        <v>74</v>
      </c>
    </row>
    <row r="799" spans="1:66">
      <c r="A799">
        <v>100996</v>
      </c>
      <c r="B799" t="s">
        <v>222</v>
      </c>
      <c r="C799" s="1">
        <v>43300101</v>
      </c>
      <c r="D799" t="s">
        <v>67</v>
      </c>
      <c r="H799" t="str">
        <f t="shared" si="102"/>
        <v>RRORCR53R19A783X</v>
      </c>
      <c r="I799" t="str">
        <f t="shared" si="103"/>
        <v>00610690620</v>
      </c>
      <c r="K799" t="str">
        <f>""</f>
        <v/>
      </c>
      <c r="M799" t="s">
        <v>68</v>
      </c>
      <c r="N799" t="str">
        <f t="shared" si="98"/>
        <v>FOR</v>
      </c>
      <c r="O799" t="s">
        <v>69</v>
      </c>
      <c r="P799" t="s">
        <v>75</v>
      </c>
      <c r="Q799">
        <v>2016</v>
      </c>
      <c r="R799" s="4">
        <v>42569</v>
      </c>
      <c r="S799" s="2">
        <v>42577</v>
      </c>
      <c r="T799" s="2">
        <v>42569</v>
      </c>
      <c r="U799" s="4">
        <v>42629</v>
      </c>
      <c r="V799" t="s">
        <v>71</v>
      </c>
      <c r="W799" t="str">
        <f>"  000028-2016-ELETTR"</f>
        <v xml:space="preserve">  000028-2016-ELETTR</v>
      </c>
      <c r="X799">
        <v>521.32000000000005</v>
      </c>
      <c r="Y799">
        <v>0</v>
      </c>
      <c r="Z799" s="5">
        <v>432.8</v>
      </c>
      <c r="AA799" s="3">
        <v>143</v>
      </c>
      <c r="AB799" s="5">
        <v>61890.400000000001</v>
      </c>
      <c r="AC799">
        <v>432.8</v>
      </c>
      <c r="AD799">
        <v>143</v>
      </c>
      <c r="AE799" s="1">
        <v>61890.400000000001</v>
      </c>
      <c r="AF799">
        <v>88.52</v>
      </c>
      <c r="AJ799">
        <v>0</v>
      </c>
      <c r="AK799">
        <v>0</v>
      </c>
      <c r="AL799">
        <v>0</v>
      </c>
      <c r="AM799">
        <v>0</v>
      </c>
      <c r="AN799">
        <v>0</v>
      </c>
      <c r="AO799">
        <v>0</v>
      </c>
      <c r="AP799" s="2">
        <v>42831</v>
      </c>
      <c r="AQ799" t="s">
        <v>72</v>
      </c>
      <c r="AR799" t="s">
        <v>72</v>
      </c>
      <c r="AS799">
        <v>292</v>
      </c>
      <c r="AT799" s="4">
        <v>42772</v>
      </c>
      <c r="AU799" t="s">
        <v>73</v>
      </c>
      <c r="AV799">
        <v>292</v>
      </c>
      <c r="AW799" s="4">
        <v>42772</v>
      </c>
      <c r="BD799">
        <v>88.52</v>
      </c>
      <c r="BN799" t="s">
        <v>74</v>
      </c>
    </row>
    <row r="800" spans="1:66">
      <c r="A800">
        <v>100996</v>
      </c>
      <c r="B800" t="s">
        <v>222</v>
      </c>
      <c r="C800" s="1">
        <v>43300101</v>
      </c>
      <c r="D800" t="s">
        <v>67</v>
      </c>
      <c r="H800" t="str">
        <f t="shared" si="102"/>
        <v>RRORCR53R19A783X</v>
      </c>
      <c r="I800" t="str">
        <f t="shared" si="103"/>
        <v>00610690620</v>
      </c>
      <c r="K800" t="str">
        <f>""</f>
        <v/>
      </c>
      <c r="M800" t="s">
        <v>68</v>
      </c>
      <c r="N800" t="str">
        <f t="shared" si="98"/>
        <v>FOR</v>
      </c>
      <c r="O800" t="s">
        <v>69</v>
      </c>
      <c r="P800" t="s">
        <v>75</v>
      </c>
      <c r="Q800">
        <v>2016</v>
      </c>
      <c r="R800" s="4">
        <v>42576</v>
      </c>
      <c r="S800" s="2">
        <v>42578</v>
      </c>
      <c r="T800" s="2">
        <v>42576</v>
      </c>
      <c r="U800" s="4">
        <v>42636</v>
      </c>
      <c r="V800" t="s">
        <v>71</v>
      </c>
      <c r="W800" t="str">
        <f>"  000029-2016-ELETTR"</f>
        <v xml:space="preserve">  000029-2016-ELETTR</v>
      </c>
      <c r="X800">
        <v>469.85</v>
      </c>
      <c r="Y800">
        <v>0</v>
      </c>
      <c r="Z800" s="5">
        <v>393.8</v>
      </c>
      <c r="AA800" s="3">
        <v>136</v>
      </c>
      <c r="AB800" s="5">
        <v>53556.800000000003</v>
      </c>
      <c r="AC800">
        <v>393.8</v>
      </c>
      <c r="AD800">
        <v>136</v>
      </c>
      <c r="AE800" s="1">
        <v>53556.800000000003</v>
      </c>
      <c r="AF800">
        <v>76.05</v>
      </c>
      <c r="AJ800">
        <v>0</v>
      </c>
      <c r="AK800">
        <v>0</v>
      </c>
      <c r="AL800">
        <v>0</v>
      </c>
      <c r="AM800">
        <v>0</v>
      </c>
      <c r="AN800">
        <v>0</v>
      </c>
      <c r="AO800">
        <v>0</v>
      </c>
      <c r="AP800" s="2">
        <v>42831</v>
      </c>
      <c r="AQ800" t="s">
        <v>72</v>
      </c>
      <c r="AR800" t="s">
        <v>72</v>
      </c>
      <c r="AS800">
        <v>292</v>
      </c>
      <c r="AT800" s="4">
        <v>42772</v>
      </c>
      <c r="AU800" t="s">
        <v>73</v>
      </c>
      <c r="AV800">
        <v>292</v>
      </c>
      <c r="AW800" s="4">
        <v>42772</v>
      </c>
      <c r="BD800">
        <v>76.05</v>
      </c>
      <c r="BN800" t="s">
        <v>74</v>
      </c>
    </row>
    <row r="801" spans="1:66">
      <c r="A801">
        <v>100996</v>
      </c>
      <c r="B801" t="s">
        <v>222</v>
      </c>
      <c r="C801" s="1">
        <v>43300101</v>
      </c>
      <c r="D801" t="s">
        <v>67</v>
      </c>
      <c r="H801" t="str">
        <f t="shared" si="102"/>
        <v>RRORCR53R19A783X</v>
      </c>
      <c r="I801" t="str">
        <f t="shared" si="103"/>
        <v>00610690620</v>
      </c>
      <c r="K801" t="str">
        <f>""</f>
        <v/>
      </c>
      <c r="M801" t="s">
        <v>68</v>
      </c>
      <c r="N801" t="str">
        <f t="shared" si="98"/>
        <v>FOR</v>
      </c>
      <c r="O801" t="s">
        <v>69</v>
      </c>
      <c r="P801" t="s">
        <v>75</v>
      </c>
      <c r="Q801">
        <v>2016</v>
      </c>
      <c r="R801" s="4">
        <v>42578</v>
      </c>
      <c r="S801" s="2">
        <v>42580</v>
      </c>
      <c r="T801" s="2">
        <v>42579</v>
      </c>
      <c r="U801" s="4">
        <v>42639</v>
      </c>
      <c r="V801" t="s">
        <v>71</v>
      </c>
      <c r="W801" t="str">
        <f>"  000030-2016-ELETTR"</f>
        <v xml:space="preserve">  000030-2016-ELETTR</v>
      </c>
      <c r="X801">
        <v>573.13</v>
      </c>
      <c r="Y801">
        <v>0</v>
      </c>
      <c r="Z801" s="5">
        <v>483</v>
      </c>
      <c r="AA801" s="3">
        <v>133</v>
      </c>
      <c r="AB801" s="5">
        <v>64239</v>
      </c>
      <c r="AC801">
        <v>483</v>
      </c>
      <c r="AD801">
        <v>133</v>
      </c>
      <c r="AE801" s="1">
        <v>64239</v>
      </c>
      <c r="AF801">
        <v>90.13</v>
      </c>
      <c r="AJ801">
        <v>0</v>
      </c>
      <c r="AK801">
        <v>0</v>
      </c>
      <c r="AL801">
        <v>0</v>
      </c>
      <c r="AM801">
        <v>0</v>
      </c>
      <c r="AN801">
        <v>0</v>
      </c>
      <c r="AO801">
        <v>0</v>
      </c>
      <c r="AP801" s="2">
        <v>42831</v>
      </c>
      <c r="AQ801" t="s">
        <v>72</v>
      </c>
      <c r="AR801" t="s">
        <v>72</v>
      </c>
      <c r="AS801">
        <v>292</v>
      </c>
      <c r="AT801" s="4">
        <v>42772</v>
      </c>
      <c r="AU801" t="s">
        <v>73</v>
      </c>
      <c r="AV801">
        <v>292</v>
      </c>
      <c r="AW801" s="4">
        <v>42772</v>
      </c>
      <c r="BD801">
        <v>90.13</v>
      </c>
      <c r="BN801" t="s">
        <v>74</v>
      </c>
    </row>
    <row r="802" spans="1:66">
      <c r="A802">
        <v>100996</v>
      </c>
      <c r="B802" t="s">
        <v>222</v>
      </c>
      <c r="C802" s="1">
        <v>43300101</v>
      </c>
      <c r="D802" t="s">
        <v>67</v>
      </c>
      <c r="H802" t="str">
        <f t="shared" si="102"/>
        <v>RRORCR53R19A783X</v>
      </c>
      <c r="I802" t="str">
        <f t="shared" si="103"/>
        <v>00610690620</v>
      </c>
      <c r="K802" t="str">
        <f>""</f>
        <v/>
      </c>
      <c r="M802" t="s">
        <v>68</v>
      </c>
      <c r="N802" t="str">
        <f t="shared" si="98"/>
        <v>FOR</v>
      </c>
      <c r="O802" t="s">
        <v>69</v>
      </c>
      <c r="P802" t="s">
        <v>75</v>
      </c>
      <c r="Q802">
        <v>2016</v>
      </c>
      <c r="R802" s="4">
        <v>42590</v>
      </c>
      <c r="S802" s="2">
        <v>42591</v>
      </c>
      <c r="T802" s="2">
        <v>42590</v>
      </c>
      <c r="U802" s="4">
        <v>42650</v>
      </c>
      <c r="V802" t="s">
        <v>71</v>
      </c>
      <c r="W802" t="str">
        <f>"  000031-2016-ELETTR"</f>
        <v xml:space="preserve">  000031-2016-ELETTR</v>
      </c>
      <c r="X802">
        <v>436.51</v>
      </c>
      <c r="Y802">
        <v>0</v>
      </c>
      <c r="Z802" s="5">
        <v>369.36</v>
      </c>
      <c r="AA802" s="3">
        <v>122</v>
      </c>
      <c r="AB802" s="5">
        <v>45061.919999999998</v>
      </c>
      <c r="AC802">
        <v>369.36</v>
      </c>
      <c r="AD802">
        <v>122</v>
      </c>
      <c r="AE802" s="1">
        <v>45061.919999999998</v>
      </c>
      <c r="AF802">
        <v>67.150000000000006</v>
      </c>
      <c r="AJ802">
        <v>0</v>
      </c>
      <c r="AK802">
        <v>0</v>
      </c>
      <c r="AL802">
        <v>0</v>
      </c>
      <c r="AM802">
        <v>0</v>
      </c>
      <c r="AN802">
        <v>0</v>
      </c>
      <c r="AO802">
        <v>0</v>
      </c>
      <c r="AP802" s="2">
        <v>42831</v>
      </c>
      <c r="AQ802" t="s">
        <v>72</v>
      </c>
      <c r="AR802" t="s">
        <v>72</v>
      </c>
      <c r="AS802">
        <v>292</v>
      </c>
      <c r="AT802" s="4">
        <v>42772</v>
      </c>
      <c r="AU802" t="s">
        <v>73</v>
      </c>
      <c r="AV802">
        <v>292</v>
      </c>
      <c r="AW802" s="4">
        <v>42772</v>
      </c>
      <c r="BC802">
        <v>67.150000000000006</v>
      </c>
      <c r="BD802">
        <v>0</v>
      </c>
      <c r="BN802" t="s">
        <v>74</v>
      </c>
    </row>
    <row r="803" spans="1:66">
      <c r="A803">
        <v>100996</v>
      </c>
      <c r="B803" t="s">
        <v>222</v>
      </c>
      <c r="C803" s="1">
        <v>43300101</v>
      </c>
      <c r="D803" t="s">
        <v>67</v>
      </c>
      <c r="H803" t="str">
        <f t="shared" si="102"/>
        <v>RRORCR53R19A783X</v>
      </c>
      <c r="I803" t="str">
        <f t="shared" si="103"/>
        <v>00610690620</v>
      </c>
      <c r="K803" t="str">
        <f>""</f>
        <v/>
      </c>
      <c r="M803" t="s">
        <v>68</v>
      </c>
      <c r="N803" t="str">
        <f t="shared" si="98"/>
        <v>FOR</v>
      </c>
      <c r="O803" t="s">
        <v>69</v>
      </c>
      <c r="P803" t="s">
        <v>75</v>
      </c>
      <c r="Q803">
        <v>2016</v>
      </c>
      <c r="R803" s="4">
        <v>42593</v>
      </c>
      <c r="S803" s="2">
        <v>42612</v>
      </c>
      <c r="T803" s="2">
        <v>42611</v>
      </c>
      <c r="U803" s="4">
        <v>42671</v>
      </c>
      <c r="V803" t="s">
        <v>71</v>
      </c>
      <c r="W803" t="str">
        <f>"  000032-2016-ELETTR"</f>
        <v xml:space="preserve">  000032-2016-ELETTR</v>
      </c>
      <c r="X803">
        <v>394.65</v>
      </c>
      <c r="Y803">
        <v>0</v>
      </c>
      <c r="Z803" s="5">
        <v>333.4</v>
      </c>
      <c r="AA803" s="3">
        <v>101</v>
      </c>
      <c r="AB803" s="5">
        <v>33673.4</v>
      </c>
      <c r="AC803">
        <v>333.4</v>
      </c>
      <c r="AD803">
        <v>101</v>
      </c>
      <c r="AE803" s="1">
        <v>33673.4</v>
      </c>
      <c r="AF803">
        <v>61.25</v>
      </c>
      <c r="AJ803">
        <v>0</v>
      </c>
      <c r="AK803">
        <v>0</v>
      </c>
      <c r="AL803">
        <v>0</v>
      </c>
      <c r="AM803">
        <v>0</v>
      </c>
      <c r="AN803">
        <v>0</v>
      </c>
      <c r="AO803">
        <v>0</v>
      </c>
      <c r="AP803" s="2">
        <v>42831</v>
      </c>
      <c r="AQ803" t="s">
        <v>72</v>
      </c>
      <c r="AR803" t="s">
        <v>72</v>
      </c>
      <c r="AS803">
        <v>292</v>
      </c>
      <c r="AT803" s="4">
        <v>42772</v>
      </c>
      <c r="AU803" t="s">
        <v>73</v>
      </c>
      <c r="AV803">
        <v>292</v>
      </c>
      <c r="AW803" s="4">
        <v>42772</v>
      </c>
      <c r="BC803">
        <v>61.25</v>
      </c>
      <c r="BD803">
        <v>0</v>
      </c>
      <c r="BN803" t="s">
        <v>74</v>
      </c>
    </row>
    <row r="804" spans="1:66">
      <c r="A804">
        <v>100996</v>
      </c>
      <c r="B804" t="s">
        <v>222</v>
      </c>
      <c r="C804" s="1">
        <v>43300101</v>
      </c>
      <c r="D804" t="s">
        <v>67</v>
      </c>
      <c r="H804" t="str">
        <f t="shared" si="102"/>
        <v>RRORCR53R19A783X</v>
      </c>
      <c r="I804" t="str">
        <f t="shared" si="103"/>
        <v>00610690620</v>
      </c>
      <c r="K804" t="str">
        <f>""</f>
        <v/>
      </c>
      <c r="M804" t="s">
        <v>68</v>
      </c>
      <c r="N804" t="str">
        <f t="shared" si="98"/>
        <v>FOR</v>
      </c>
      <c r="O804" t="s">
        <v>69</v>
      </c>
      <c r="P804" t="s">
        <v>75</v>
      </c>
      <c r="Q804">
        <v>2016</v>
      </c>
      <c r="R804" s="4">
        <v>42605</v>
      </c>
      <c r="S804" s="2">
        <v>42612</v>
      </c>
      <c r="T804" s="2">
        <v>42611</v>
      </c>
      <c r="U804" s="4">
        <v>42671</v>
      </c>
      <c r="V804" t="s">
        <v>71</v>
      </c>
      <c r="W804" t="str">
        <f>"  000033-2016-ELETTR"</f>
        <v xml:space="preserve">  000033-2016-ELETTR</v>
      </c>
      <c r="X804">
        <v>298.92</v>
      </c>
      <c r="Y804">
        <v>0</v>
      </c>
      <c r="Z804" s="5">
        <v>250.8</v>
      </c>
      <c r="AA804" s="3">
        <v>101</v>
      </c>
      <c r="AB804" s="5">
        <v>25330.799999999999</v>
      </c>
      <c r="AC804">
        <v>250.8</v>
      </c>
      <c r="AD804">
        <v>101</v>
      </c>
      <c r="AE804" s="1">
        <v>25330.799999999999</v>
      </c>
      <c r="AF804">
        <v>48.12</v>
      </c>
      <c r="AJ804">
        <v>0</v>
      </c>
      <c r="AK804">
        <v>0</v>
      </c>
      <c r="AL804">
        <v>0</v>
      </c>
      <c r="AM804">
        <v>0</v>
      </c>
      <c r="AN804">
        <v>0</v>
      </c>
      <c r="AO804">
        <v>0</v>
      </c>
      <c r="AP804" s="2">
        <v>42831</v>
      </c>
      <c r="AQ804" t="s">
        <v>72</v>
      </c>
      <c r="AR804" t="s">
        <v>72</v>
      </c>
      <c r="AS804">
        <v>292</v>
      </c>
      <c r="AT804" s="4">
        <v>42772</v>
      </c>
      <c r="AU804" t="s">
        <v>73</v>
      </c>
      <c r="AV804">
        <v>292</v>
      </c>
      <c r="AW804" s="4">
        <v>42772</v>
      </c>
      <c r="BC804">
        <v>48.12</v>
      </c>
      <c r="BD804">
        <v>0</v>
      </c>
      <c r="BN804" t="s">
        <v>74</v>
      </c>
    </row>
    <row r="805" spans="1:66">
      <c r="A805">
        <v>100996</v>
      </c>
      <c r="B805" t="s">
        <v>222</v>
      </c>
      <c r="C805" s="1">
        <v>43300101</v>
      </c>
      <c r="D805" t="s">
        <v>67</v>
      </c>
      <c r="H805" t="str">
        <f t="shared" si="102"/>
        <v>RRORCR53R19A783X</v>
      </c>
      <c r="I805" t="str">
        <f t="shared" si="103"/>
        <v>00610690620</v>
      </c>
      <c r="K805" t="str">
        <f>""</f>
        <v/>
      </c>
      <c r="M805" t="s">
        <v>68</v>
      </c>
      <c r="N805" t="str">
        <f t="shared" si="98"/>
        <v>FOR</v>
      </c>
      <c r="O805" t="s">
        <v>69</v>
      </c>
      <c r="P805" t="s">
        <v>75</v>
      </c>
      <c r="Q805">
        <v>2016</v>
      </c>
      <c r="R805" s="4">
        <v>42608</v>
      </c>
      <c r="S805" s="2">
        <v>42612</v>
      </c>
      <c r="T805" s="2">
        <v>42611</v>
      </c>
      <c r="U805" s="4">
        <v>42671</v>
      </c>
      <c r="V805" t="s">
        <v>71</v>
      </c>
      <c r="W805" t="str">
        <f>"  000034-2016-ELETTR"</f>
        <v xml:space="preserve">  000034-2016-ELETTR</v>
      </c>
      <c r="X805">
        <v>441.26</v>
      </c>
      <c r="Y805">
        <v>0</v>
      </c>
      <c r="Z805" s="5">
        <v>371.4</v>
      </c>
      <c r="AA805" s="3">
        <v>101</v>
      </c>
      <c r="AB805" s="5">
        <v>37511.4</v>
      </c>
      <c r="AC805">
        <v>371.4</v>
      </c>
      <c r="AD805">
        <v>101</v>
      </c>
      <c r="AE805" s="1">
        <v>37511.4</v>
      </c>
      <c r="AF805">
        <v>69.86</v>
      </c>
      <c r="AJ805">
        <v>0</v>
      </c>
      <c r="AK805">
        <v>0</v>
      </c>
      <c r="AL805">
        <v>0</v>
      </c>
      <c r="AM805">
        <v>0</v>
      </c>
      <c r="AN805">
        <v>0</v>
      </c>
      <c r="AO805">
        <v>0</v>
      </c>
      <c r="AP805" s="2">
        <v>42831</v>
      </c>
      <c r="AQ805" t="s">
        <v>72</v>
      </c>
      <c r="AR805" t="s">
        <v>72</v>
      </c>
      <c r="AS805">
        <v>292</v>
      </c>
      <c r="AT805" s="4">
        <v>42772</v>
      </c>
      <c r="AU805" t="s">
        <v>73</v>
      </c>
      <c r="AV805">
        <v>292</v>
      </c>
      <c r="AW805" s="4">
        <v>42772</v>
      </c>
      <c r="BC805">
        <v>69.86</v>
      </c>
      <c r="BD805">
        <v>0</v>
      </c>
      <c r="BN805" t="s">
        <v>74</v>
      </c>
    </row>
    <row r="806" spans="1:66">
      <c r="A806">
        <v>100996</v>
      </c>
      <c r="B806" t="s">
        <v>222</v>
      </c>
      <c r="C806" s="1">
        <v>43300101</v>
      </c>
      <c r="D806" t="s">
        <v>67</v>
      </c>
      <c r="H806" t="str">
        <f t="shared" si="102"/>
        <v>RRORCR53R19A783X</v>
      </c>
      <c r="I806" t="str">
        <f t="shared" si="103"/>
        <v>00610690620</v>
      </c>
      <c r="K806" t="str">
        <f>""</f>
        <v/>
      </c>
      <c r="M806" t="s">
        <v>68</v>
      </c>
      <c r="N806" t="str">
        <f t="shared" si="98"/>
        <v>FOR</v>
      </c>
      <c r="O806" t="s">
        <v>69</v>
      </c>
      <c r="P806" t="s">
        <v>75</v>
      </c>
      <c r="Q806">
        <v>2016</v>
      </c>
      <c r="R806" s="4">
        <v>42615</v>
      </c>
      <c r="S806" s="2">
        <v>42618</v>
      </c>
      <c r="T806" s="2">
        <v>42615</v>
      </c>
      <c r="U806" s="4">
        <v>42675</v>
      </c>
      <c r="V806" t="s">
        <v>71</v>
      </c>
      <c r="W806" t="str">
        <f>"  000035-2016-ELETTR"</f>
        <v xml:space="preserve">  000035-2016-ELETTR</v>
      </c>
      <c r="X806">
        <v>305.05</v>
      </c>
      <c r="Y806">
        <v>0</v>
      </c>
      <c r="Z806" s="5">
        <v>255</v>
      </c>
      <c r="AA806" s="3">
        <v>97</v>
      </c>
      <c r="AB806" s="5">
        <v>24735</v>
      </c>
      <c r="AC806">
        <v>255</v>
      </c>
      <c r="AD806">
        <v>97</v>
      </c>
      <c r="AE806" s="1">
        <v>24735</v>
      </c>
      <c r="AF806">
        <v>50.05</v>
      </c>
      <c r="AJ806">
        <v>0</v>
      </c>
      <c r="AK806">
        <v>0</v>
      </c>
      <c r="AL806">
        <v>0</v>
      </c>
      <c r="AM806">
        <v>0</v>
      </c>
      <c r="AN806">
        <v>0</v>
      </c>
      <c r="AO806">
        <v>0</v>
      </c>
      <c r="AP806" s="2">
        <v>42831</v>
      </c>
      <c r="AQ806" t="s">
        <v>72</v>
      </c>
      <c r="AR806" t="s">
        <v>72</v>
      </c>
      <c r="AS806">
        <v>292</v>
      </c>
      <c r="AT806" s="4">
        <v>42772</v>
      </c>
      <c r="AU806" t="s">
        <v>73</v>
      </c>
      <c r="AV806">
        <v>292</v>
      </c>
      <c r="AW806" s="4">
        <v>42772</v>
      </c>
      <c r="BB806">
        <v>50.05</v>
      </c>
      <c r="BD806">
        <v>0</v>
      </c>
      <c r="BN806" t="s">
        <v>74</v>
      </c>
    </row>
    <row r="807" spans="1:66">
      <c r="A807">
        <v>100996</v>
      </c>
      <c r="B807" t="s">
        <v>222</v>
      </c>
      <c r="C807" s="1">
        <v>43300101</v>
      </c>
      <c r="D807" t="s">
        <v>67</v>
      </c>
      <c r="H807" t="str">
        <f t="shared" si="102"/>
        <v>RRORCR53R19A783X</v>
      </c>
      <c r="I807" t="str">
        <f t="shared" si="103"/>
        <v>00610690620</v>
      </c>
      <c r="K807" t="str">
        <f>""</f>
        <v/>
      </c>
      <c r="M807" t="s">
        <v>68</v>
      </c>
      <c r="N807" t="str">
        <f t="shared" si="98"/>
        <v>FOR</v>
      </c>
      <c r="O807" t="s">
        <v>69</v>
      </c>
      <c r="P807" t="s">
        <v>75</v>
      </c>
      <c r="Q807">
        <v>2016</v>
      </c>
      <c r="R807" s="4">
        <v>42625</v>
      </c>
      <c r="S807" s="2">
        <v>42625</v>
      </c>
      <c r="T807" s="2">
        <v>42625</v>
      </c>
      <c r="U807" s="4">
        <v>42685</v>
      </c>
      <c r="V807" t="s">
        <v>71</v>
      </c>
      <c r="W807" t="str">
        <f>"  000036-2016-ELETTR"</f>
        <v xml:space="preserve">  000036-2016-ELETTR</v>
      </c>
      <c r="X807">
        <v>390.75</v>
      </c>
      <c r="Y807">
        <v>0</v>
      </c>
      <c r="Z807" s="5">
        <v>330.2</v>
      </c>
      <c r="AA807" s="3">
        <v>87</v>
      </c>
      <c r="AB807" s="5">
        <v>28727.4</v>
      </c>
      <c r="AC807">
        <v>330.2</v>
      </c>
      <c r="AD807">
        <v>87</v>
      </c>
      <c r="AE807" s="1">
        <v>28727.4</v>
      </c>
      <c r="AF807">
        <v>60.55</v>
      </c>
      <c r="AJ807">
        <v>0</v>
      </c>
      <c r="AK807">
        <v>0</v>
      </c>
      <c r="AL807">
        <v>0</v>
      </c>
      <c r="AM807">
        <v>0</v>
      </c>
      <c r="AN807">
        <v>0</v>
      </c>
      <c r="AO807">
        <v>0</v>
      </c>
      <c r="AP807" s="2">
        <v>42831</v>
      </c>
      <c r="AQ807" t="s">
        <v>72</v>
      </c>
      <c r="AR807" t="s">
        <v>72</v>
      </c>
      <c r="AS807">
        <v>292</v>
      </c>
      <c r="AT807" s="4">
        <v>42772</v>
      </c>
      <c r="AU807" t="s">
        <v>73</v>
      </c>
      <c r="AV807">
        <v>292</v>
      </c>
      <c r="AW807" s="4">
        <v>42772</v>
      </c>
      <c r="BB807">
        <v>60.55</v>
      </c>
      <c r="BD807">
        <v>0</v>
      </c>
      <c r="BN807" t="s">
        <v>74</v>
      </c>
    </row>
    <row r="808" spans="1:66">
      <c r="A808">
        <v>100996</v>
      </c>
      <c r="B808" t="s">
        <v>222</v>
      </c>
      <c r="C808" s="1">
        <v>43300101</v>
      </c>
      <c r="D808" t="s">
        <v>67</v>
      </c>
      <c r="H808" t="str">
        <f t="shared" si="102"/>
        <v>RRORCR53R19A783X</v>
      </c>
      <c r="I808" t="str">
        <f t="shared" si="103"/>
        <v>00610690620</v>
      </c>
      <c r="K808" t="str">
        <f>""</f>
        <v/>
      </c>
      <c r="M808" t="s">
        <v>68</v>
      </c>
      <c r="N808" t="str">
        <f t="shared" si="98"/>
        <v>FOR</v>
      </c>
      <c r="O808" t="s">
        <v>69</v>
      </c>
      <c r="P808" t="s">
        <v>75</v>
      </c>
      <c r="Q808">
        <v>2016</v>
      </c>
      <c r="R808" s="4">
        <v>42644</v>
      </c>
      <c r="S808" s="2">
        <v>42646</v>
      </c>
      <c r="T808" s="2">
        <v>42646</v>
      </c>
      <c r="U808" s="4">
        <v>42706</v>
      </c>
      <c r="V808" t="s">
        <v>71</v>
      </c>
      <c r="W808" t="str">
        <f>"  000039-2016-ELETTR"</f>
        <v xml:space="preserve">  000039-2016-ELETTR</v>
      </c>
      <c r="X808">
        <v>253.03</v>
      </c>
      <c r="Y808">
        <v>0</v>
      </c>
      <c r="Z808" s="5">
        <v>216.9</v>
      </c>
      <c r="AA808" s="3">
        <v>66</v>
      </c>
      <c r="AB808" s="5">
        <v>14315.4</v>
      </c>
      <c r="AC808">
        <v>216.9</v>
      </c>
      <c r="AD808">
        <v>66</v>
      </c>
      <c r="AE808" s="1">
        <v>14315.4</v>
      </c>
      <c r="AF808">
        <v>36.130000000000003</v>
      </c>
      <c r="AJ808">
        <v>0</v>
      </c>
      <c r="AK808">
        <v>0</v>
      </c>
      <c r="AL808">
        <v>0</v>
      </c>
      <c r="AM808">
        <v>0</v>
      </c>
      <c r="AN808">
        <v>0</v>
      </c>
      <c r="AO808">
        <v>0</v>
      </c>
      <c r="AP808" s="2">
        <v>42831</v>
      </c>
      <c r="AQ808" t="s">
        <v>72</v>
      </c>
      <c r="AR808" t="s">
        <v>72</v>
      </c>
      <c r="AS808">
        <v>292</v>
      </c>
      <c r="AT808" s="4">
        <v>42772</v>
      </c>
      <c r="AU808" t="s">
        <v>73</v>
      </c>
      <c r="AV808">
        <v>292</v>
      </c>
      <c r="AW808" s="4">
        <v>42772</v>
      </c>
      <c r="BA808">
        <v>36.130000000000003</v>
      </c>
      <c r="BD808">
        <v>0</v>
      </c>
      <c r="BN808" t="s">
        <v>74</v>
      </c>
    </row>
    <row r="809" spans="1:66">
      <c r="A809">
        <v>100996</v>
      </c>
      <c r="B809" t="s">
        <v>222</v>
      </c>
      <c r="C809" s="1">
        <v>43300101</v>
      </c>
      <c r="D809" t="s">
        <v>67</v>
      </c>
      <c r="H809" t="str">
        <f t="shared" si="102"/>
        <v>RRORCR53R19A783X</v>
      </c>
      <c r="I809" t="str">
        <f t="shared" si="103"/>
        <v>00610690620</v>
      </c>
      <c r="K809" t="str">
        <f>""</f>
        <v/>
      </c>
      <c r="M809" t="s">
        <v>68</v>
      </c>
      <c r="N809" t="str">
        <f t="shared" si="98"/>
        <v>FOR</v>
      </c>
      <c r="O809" t="s">
        <v>69</v>
      </c>
      <c r="P809" t="s">
        <v>75</v>
      </c>
      <c r="Q809">
        <v>2016</v>
      </c>
      <c r="R809" s="4">
        <v>42658</v>
      </c>
      <c r="S809" s="2">
        <v>42660</v>
      </c>
      <c r="T809" s="2">
        <v>42660</v>
      </c>
      <c r="U809" s="4">
        <v>42720</v>
      </c>
      <c r="V809" t="s">
        <v>71</v>
      </c>
      <c r="W809" t="str">
        <f>"  000041-2016-ELETTR"</f>
        <v xml:space="preserve">  000041-2016-ELETTR</v>
      </c>
      <c r="X809">
        <v>312.06</v>
      </c>
      <c r="Y809">
        <v>0</v>
      </c>
      <c r="Z809" s="5">
        <v>260.18</v>
      </c>
      <c r="AA809" s="3">
        <v>52</v>
      </c>
      <c r="AB809" s="5">
        <v>13529.36</v>
      </c>
      <c r="AC809">
        <v>260.18</v>
      </c>
      <c r="AD809">
        <v>52</v>
      </c>
      <c r="AE809" s="1">
        <v>13529.36</v>
      </c>
      <c r="AF809">
        <v>51.88</v>
      </c>
      <c r="AJ809">
        <v>0</v>
      </c>
      <c r="AK809">
        <v>0</v>
      </c>
      <c r="AL809">
        <v>0</v>
      </c>
      <c r="AM809">
        <v>0</v>
      </c>
      <c r="AN809">
        <v>0</v>
      </c>
      <c r="AO809">
        <v>0</v>
      </c>
      <c r="AP809" s="2">
        <v>42831</v>
      </c>
      <c r="AQ809" t="s">
        <v>72</v>
      </c>
      <c r="AR809" t="s">
        <v>72</v>
      </c>
      <c r="AS809">
        <v>292</v>
      </c>
      <c r="AT809" s="4">
        <v>42772</v>
      </c>
      <c r="AU809" t="s">
        <v>73</v>
      </c>
      <c r="AV809">
        <v>292</v>
      </c>
      <c r="AW809" s="4">
        <v>42772</v>
      </c>
      <c r="BA809">
        <v>51.88</v>
      </c>
      <c r="BD809">
        <v>0</v>
      </c>
      <c r="BN809" t="s">
        <v>74</v>
      </c>
    </row>
    <row r="810" spans="1:66">
      <c r="A810">
        <v>100996</v>
      </c>
      <c r="B810" t="s">
        <v>222</v>
      </c>
      <c r="C810" s="1">
        <v>43300101</v>
      </c>
      <c r="D810" t="s">
        <v>67</v>
      </c>
      <c r="H810" t="str">
        <f t="shared" si="102"/>
        <v>RRORCR53R19A783X</v>
      </c>
      <c r="I810" t="str">
        <f t="shared" si="103"/>
        <v>00610690620</v>
      </c>
      <c r="K810" t="str">
        <f>""</f>
        <v/>
      </c>
      <c r="M810" t="s">
        <v>68</v>
      </c>
      <c r="N810" t="str">
        <f t="shared" si="98"/>
        <v>FOR</v>
      </c>
      <c r="O810" t="s">
        <v>69</v>
      </c>
      <c r="P810" t="s">
        <v>75</v>
      </c>
      <c r="Q810">
        <v>2016</v>
      </c>
      <c r="R810" s="4">
        <v>42667</v>
      </c>
      <c r="S810" s="2">
        <v>42670</v>
      </c>
      <c r="T810" s="2">
        <v>42667</v>
      </c>
      <c r="U810" s="4">
        <v>42727</v>
      </c>
      <c r="V810" t="s">
        <v>71</v>
      </c>
      <c r="W810" t="str">
        <f>"  000042-2016-ELETTR"</f>
        <v xml:space="preserve">  000042-2016-ELETTR</v>
      </c>
      <c r="X810">
        <v>382.75</v>
      </c>
      <c r="Y810">
        <v>0</v>
      </c>
      <c r="Z810" s="5">
        <v>318.49</v>
      </c>
      <c r="AA810" s="3">
        <v>45</v>
      </c>
      <c r="AB810" s="5">
        <v>14332.05</v>
      </c>
      <c r="AC810">
        <v>318.49</v>
      </c>
      <c r="AD810">
        <v>45</v>
      </c>
      <c r="AE810" s="1">
        <v>14332.05</v>
      </c>
      <c r="AF810">
        <v>64.260000000000005</v>
      </c>
      <c r="AJ810">
        <v>0</v>
      </c>
      <c r="AK810">
        <v>0</v>
      </c>
      <c r="AL810">
        <v>0</v>
      </c>
      <c r="AM810">
        <v>0</v>
      </c>
      <c r="AN810">
        <v>0</v>
      </c>
      <c r="AO810">
        <v>0</v>
      </c>
      <c r="AP810" s="2">
        <v>42831</v>
      </c>
      <c r="AQ810" t="s">
        <v>72</v>
      </c>
      <c r="AR810" t="s">
        <v>72</v>
      </c>
      <c r="AS810">
        <v>292</v>
      </c>
      <c r="AT810" s="4">
        <v>42772</v>
      </c>
      <c r="AU810" t="s">
        <v>73</v>
      </c>
      <c r="AV810">
        <v>292</v>
      </c>
      <c r="AW810" s="4">
        <v>42772</v>
      </c>
      <c r="BA810">
        <v>64.260000000000005</v>
      </c>
      <c r="BD810">
        <v>0</v>
      </c>
      <c r="BN810" t="s">
        <v>74</v>
      </c>
    </row>
    <row r="811" spans="1:66">
      <c r="A811">
        <v>100996</v>
      </c>
      <c r="B811" t="s">
        <v>222</v>
      </c>
      <c r="C811" s="1">
        <v>43300101</v>
      </c>
      <c r="D811" t="s">
        <v>67</v>
      </c>
      <c r="H811" t="str">
        <f t="shared" si="102"/>
        <v>RRORCR53R19A783X</v>
      </c>
      <c r="I811" t="str">
        <f t="shared" si="103"/>
        <v>00610690620</v>
      </c>
      <c r="K811" t="str">
        <f>""</f>
        <v/>
      </c>
      <c r="M811" t="s">
        <v>68</v>
      </c>
      <c r="N811" t="str">
        <f t="shared" si="98"/>
        <v>FOR</v>
      </c>
      <c r="O811" t="s">
        <v>69</v>
      </c>
      <c r="P811" t="s">
        <v>75</v>
      </c>
      <c r="Q811">
        <v>2016</v>
      </c>
      <c r="R811" s="4">
        <v>42674</v>
      </c>
      <c r="S811" s="2">
        <v>42676</v>
      </c>
      <c r="T811" s="2">
        <v>42674</v>
      </c>
      <c r="U811" s="4">
        <v>42734</v>
      </c>
      <c r="V811" t="s">
        <v>71</v>
      </c>
      <c r="W811" t="str">
        <f>"  000043-2016-ELETTR"</f>
        <v xml:space="preserve">  000043-2016-ELETTR</v>
      </c>
      <c r="X811">
        <v>463.36</v>
      </c>
      <c r="Y811">
        <v>0</v>
      </c>
      <c r="Z811" s="5">
        <v>389.72</v>
      </c>
      <c r="AA811" s="3">
        <v>38</v>
      </c>
      <c r="AB811" s="5">
        <v>14809.36</v>
      </c>
      <c r="AC811">
        <v>389.72</v>
      </c>
      <c r="AD811">
        <v>38</v>
      </c>
      <c r="AE811" s="1">
        <v>14809.36</v>
      </c>
      <c r="AF811">
        <v>73.64</v>
      </c>
      <c r="AJ811">
        <v>0</v>
      </c>
      <c r="AK811">
        <v>0</v>
      </c>
      <c r="AL811">
        <v>0</v>
      </c>
      <c r="AM811">
        <v>0</v>
      </c>
      <c r="AN811">
        <v>0</v>
      </c>
      <c r="AO811">
        <v>0</v>
      </c>
      <c r="AP811" s="2">
        <v>42831</v>
      </c>
      <c r="AQ811" t="s">
        <v>72</v>
      </c>
      <c r="AR811" t="s">
        <v>72</v>
      </c>
      <c r="AS811">
        <v>292</v>
      </c>
      <c r="AT811" s="4">
        <v>42772</v>
      </c>
      <c r="AU811" t="s">
        <v>73</v>
      </c>
      <c r="AV811">
        <v>292</v>
      </c>
      <c r="AW811" s="4">
        <v>42772</v>
      </c>
      <c r="BA811">
        <v>73.64</v>
      </c>
      <c r="BD811">
        <v>0</v>
      </c>
      <c r="BN811" t="s">
        <v>74</v>
      </c>
    </row>
    <row r="812" spans="1:66" hidden="1">
      <c r="A812">
        <v>100999</v>
      </c>
      <c r="B812" t="s">
        <v>223</v>
      </c>
      <c r="C812" s="1">
        <v>43500101</v>
      </c>
      <c r="D812" t="s">
        <v>98</v>
      </c>
      <c r="H812" t="str">
        <f t="shared" ref="H812:I814" si="104">"05694110486"</f>
        <v>05694110486</v>
      </c>
      <c r="I812" t="str">
        <f t="shared" si="104"/>
        <v>05694110486</v>
      </c>
      <c r="K812" t="str">
        <f>""</f>
        <v/>
      </c>
      <c r="M812" t="s">
        <v>68</v>
      </c>
      <c r="N812" t="str">
        <f>"ALTFIN"</f>
        <v>ALTFIN</v>
      </c>
      <c r="O812" t="s">
        <v>102</v>
      </c>
      <c r="P812" t="s">
        <v>82</v>
      </c>
      <c r="Q812">
        <v>2017</v>
      </c>
      <c r="R812" s="4">
        <v>42755</v>
      </c>
      <c r="S812" s="2">
        <v>42755</v>
      </c>
      <c r="T812" s="2">
        <v>42755</v>
      </c>
      <c r="U812" s="4">
        <v>42815</v>
      </c>
      <c r="V812" t="s">
        <v>71</v>
      </c>
      <c r="W812" t="str">
        <f>"                0120"</f>
        <v xml:space="preserve">                0120</v>
      </c>
      <c r="X812">
        <v>0</v>
      </c>
      <c r="Y812" s="1">
        <v>1018</v>
      </c>
      <c r="Z812" s="5">
        <v>1018</v>
      </c>
      <c r="AA812" s="3">
        <v>-57</v>
      </c>
      <c r="AB812" s="5">
        <v>-58026</v>
      </c>
      <c r="AC812" s="1">
        <v>1018</v>
      </c>
      <c r="AD812">
        <v>-57</v>
      </c>
      <c r="AE812" s="1">
        <v>-58026</v>
      </c>
      <c r="AF812">
        <v>0</v>
      </c>
      <c r="AJ812" s="1">
        <v>1018</v>
      </c>
      <c r="AK812" s="1">
        <v>1018</v>
      </c>
      <c r="AL812" s="1">
        <v>1018</v>
      </c>
      <c r="AM812" s="1">
        <v>1018</v>
      </c>
      <c r="AN812" s="1">
        <v>1018</v>
      </c>
      <c r="AO812" s="1">
        <v>1018</v>
      </c>
      <c r="AP812" s="2">
        <v>42831</v>
      </c>
      <c r="AQ812" t="s">
        <v>72</v>
      </c>
      <c r="AR812" t="s">
        <v>72</v>
      </c>
      <c r="AS812">
        <v>35</v>
      </c>
      <c r="AT812" s="4">
        <v>42758</v>
      </c>
      <c r="AV812">
        <v>35</v>
      </c>
      <c r="AW812" s="4">
        <v>42758</v>
      </c>
      <c r="BD812">
        <v>0</v>
      </c>
      <c r="BN812" t="s">
        <v>74</v>
      </c>
    </row>
    <row r="813" spans="1:66" hidden="1">
      <c r="A813">
        <v>100999</v>
      </c>
      <c r="B813" t="s">
        <v>223</v>
      </c>
      <c r="C813" s="1">
        <v>43500101</v>
      </c>
      <c r="D813" t="s">
        <v>98</v>
      </c>
      <c r="H813" t="str">
        <f t="shared" si="104"/>
        <v>05694110486</v>
      </c>
      <c r="I813" t="str">
        <f t="shared" si="104"/>
        <v>05694110486</v>
      </c>
      <c r="K813" t="str">
        <f>""</f>
        <v/>
      </c>
      <c r="M813" t="s">
        <v>68</v>
      </c>
      <c r="N813" t="str">
        <f>"ALTFIN"</f>
        <v>ALTFIN</v>
      </c>
      <c r="O813" t="s">
        <v>102</v>
      </c>
      <c r="P813" t="s">
        <v>83</v>
      </c>
      <c r="Q813">
        <v>2017</v>
      </c>
      <c r="R813" s="4">
        <v>42786</v>
      </c>
      <c r="S813" s="2">
        <v>42787</v>
      </c>
      <c r="T813" s="2">
        <v>42787</v>
      </c>
      <c r="U813" s="4">
        <v>42847</v>
      </c>
      <c r="V813" t="s">
        <v>71</v>
      </c>
      <c r="W813" t="str">
        <f>"                0220"</f>
        <v xml:space="preserve">                0220</v>
      </c>
      <c r="X813">
        <v>0</v>
      </c>
      <c r="Y813" s="1">
        <v>1018</v>
      </c>
      <c r="Z813" s="5">
        <v>1018</v>
      </c>
      <c r="AA813" s="3">
        <v>-60</v>
      </c>
      <c r="AB813" s="5">
        <v>-61080</v>
      </c>
      <c r="AC813" s="1">
        <v>1018</v>
      </c>
      <c r="AD813">
        <v>-60</v>
      </c>
      <c r="AE813" s="1">
        <v>-61080</v>
      </c>
      <c r="AF813">
        <v>0</v>
      </c>
      <c r="AJ813" s="1">
        <v>1018</v>
      </c>
      <c r="AK813" s="1">
        <v>1018</v>
      </c>
      <c r="AL813" s="1">
        <v>1018</v>
      </c>
      <c r="AM813" s="1">
        <v>1018</v>
      </c>
      <c r="AN813" s="1">
        <v>1018</v>
      </c>
      <c r="AO813" s="1">
        <v>1018</v>
      </c>
      <c r="AP813" s="2">
        <v>42831</v>
      </c>
      <c r="AQ813" t="s">
        <v>72</v>
      </c>
      <c r="AR813" t="s">
        <v>72</v>
      </c>
      <c r="AS813">
        <v>515</v>
      </c>
      <c r="AT813" s="4">
        <v>42787</v>
      </c>
      <c r="AV813">
        <v>515</v>
      </c>
      <c r="AW813" s="4">
        <v>42787</v>
      </c>
      <c r="BD813">
        <v>0</v>
      </c>
      <c r="BN813" t="s">
        <v>74</v>
      </c>
    </row>
    <row r="814" spans="1:66" hidden="1">
      <c r="A814">
        <v>100999</v>
      </c>
      <c r="B814" t="s">
        <v>223</v>
      </c>
      <c r="C814" s="1">
        <v>43500101</v>
      </c>
      <c r="D814" t="s">
        <v>98</v>
      </c>
      <c r="H814" t="str">
        <f t="shared" si="104"/>
        <v>05694110486</v>
      </c>
      <c r="I814" t="str">
        <f t="shared" si="104"/>
        <v>05694110486</v>
      </c>
      <c r="K814" t="str">
        <f>""</f>
        <v/>
      </c>
      <c r="M814" t="s">
        <v>68</v>
      </c>
      <c r="N814" t="str">
        <f>"ALTFIN"</f>
        <v>ALTFIN</v>
      </c>
      <c r="O814" t="s">
        <v>102</v>
      </c>
      <c r="P814" t="s">
        <v>84</v>
      </c>
      <c r="Q814">
        <v>2017</v>
      </c>
      <c r="R814" s="4">
        <v>42815</v>
      </c>
      <c r="S814" s="2">
        <v>42815</v>
      </c>
      <c r="T814" s="2">
        <v>42815</v>
      </c>
      <c r="U814" s="4">
        <v>42875</v>
      </c>
      <c r="V814" t="s">
        <v>71</v>
      </c>
      <c r="W814" t="str">
        <f>"                0321"</f>
        <v xml:space="preserve">                0321</v>
      </c>
      <c r="X814">
        <v>0</v>
      </c>
      <c r="Y814" s="1">
        <v>1018</v>
      </c>
      <c r="Z814" s="5">
        <v>1018</v>
      </c>
      <c r="AA814" s="3">
        <v>-60</v>
      </c>
      <c r="AB814" s="5">
        <v>-61080</v>
      </c>
      <c r="AC814" s="1">
        <v>1018</v>
      </c>
      <c r="AD814">
        <v>-60</v>
      </c>
      <c r="AE814" s="1">
        <v>-61080</v>
      </c>
      <c r="AF814">
        <v>0</v>
      </c>
      <c r="AJ814" s="1">
        <v>1018</v>
      </c>
      <c r="AK814" s="1">
        <v>1018</v>
      </c>
      <c r="AL814" s="1">
        <v>1018</v>
      </c>
      <c r="AM814" s="1">
        <v>1018</v>
      </c>
      <c r="AN814" s="1">
        <v>1018</v>
      </c>
      <c r="AO814" s="1">
        <v>1018</v>
      </c>
      <c r="AP814" s="2">
        <v>42831</v>
      </c>
      <c r="AQ814" t="s">
        <v>72</v>
      </c>
      <c r="AR814" t="s">
        <v>72</v>
      </c>
      <c r="AS814">
        <v>812</v>
      </c>
      <c r="AT814" s="4">
        <v>42815</v>
      </c>
      <c r="AV814">
        <v>812</v>
      </c>
      <c r="AW814" s="4">
        <v>42815</v>
      </c>
      <c r="BD814">
        <v>0</v>
      </c>
      <c r="BN814" t="s">
        <v>74</v>
      </c>
    </row>
    <row r="815" spans="1:66">
      <c r="A815">
        <v>101007</v>
      </c>
      <c r="B815" t="s">
        <v>224</v>
      </c>
      <c r="C815" s="1">
        <v>43500101</v>
      </c>
      <c r="D815" t="s">
        <v>98</v>
      </c>
      <c r="H815" t="str">
        <f>"97103880585"</f>
        <v>97103880585</v>
      </c>
      <c r="I815" t="str">
        <f>"01114601006"</f>
        <v>01114601006</v>
      </c>
      <c r="K815" t="str">
        <f>""</f>
        <v/>
      </c>
      <c r="M815" t="s">
        <v>68</v>
      </c>
      <c r="N815" t="str">
        <f>"ALT"</f>
        <v>ALT</v>
      </c>
      <c r="O815" t="s">
        <v>99</v>
      </c>
      <c r="P815" t="s">
        <v>75</v>
      </c>
      <c r="Q815">
        <v>2015</v>
      </c>
      <c r="R815" s="4">
        <v>42340</v>
      </c>
      <c r="S815" s="2">
        <v>42341</v>
      </c>
      <c r="T815" s="2">
        <v>42340</v>
      </c>
      <c r="U815" s="4">
        <v>42400</v>
      </c>
      <c r="V815" t="s">
        <v>71</v>
      </c>
      <c r="W815" t="str">
        <f>"          8715304597"</f>
        <v xml:space="preserve">          8715304597</v>
      </c>
      <c r="X815">
        <v>156</v>
      </c>
      <c r="Y815">
        <v>0</v>
      </c>
      <c r="Z815" s="5">
        <v>156</v>
      </c>
      <c r="AA815" s="3">
        <v>393</v>
      </c>
      <c r="AB815" s="5">
        <v>61308</v>
      </c>
      <c r="AC815">
        <v>156</v>
      </c>
      <c r="AD815">
        <v>393</v>
      </c>
      <c r="AE815" s="1">
        <v>61308</v>
      </c>
      <c r="AF815">
        <v>0</v>
      </c>
      <c r="AJ815">
        <v>0</v>
      </c>
      <c r="AK815">
        <v>0</v>
      </c>
      <c r="AL815">
        <v>0</v>
      </c>
      <c r="AM815">
        <v>0</v>
      </c>
      <c r="AN815">
        <v>0</v>
      </c>
      <c r="AO815">
        <v>0</v>
      </c>
      <c r="AP815" s="2">
        <v>42831</v>
      </c>
      <c r="AQ815" t="s">
        <v>72</v>
      </c>
      <c r="AR815" t="s">
        <v>72</v>
      </c>
      <c r="AS815">
        <v>591</v>
      </c>
      <c r="AT815" s="4">
        <v>42793</v>
      </c>
      <c r="AU815" t="s">
        <v>73</v>
      </c>
      <c r="AV815">
        <v>591</v>
      </c>
      <c r="AW815" s="4">
        <v>42793</v>
      </c>
      <c r="BD815">
        <v>0</v>
      </c>
      <c r="BN815" t="s">
        <v>74</v>
      </c>
    </row>
    <row r="816" spans="1:66">
      <c r="A816">
        <v>101012</v>
      </c>
      <c r="B816" t="s">
        <v>225</v>
      </c>
      <c r="C816" s="1">
        <v>43300101</v>
      </c>
      <c r="D816" t="s">
        <v>67</v>
      </c>
      <c r="H816" t="str">
        <f>"09693591001"</f>
        <v>09693591001</v>
      </c>
      <c r="I816" t="str">
        <f>"09693591001"</f>
        <v>09693591001</v>
      </c>
      <c r="K816" t="str">
        <f>""</f>
        <v/>
      </c>
      <c r="M816" t="s">
        <v>68</v>
      </c>
      <c r="N816" t="str">
        <f t="shared" ref="N816:N823" si="105">"FOR"</f>
        <v>FOR</v>
      </c>
      <c r="O816" t="s">
        <v>69</v>
      </c>
      <c r="P816" t="s">
        <v>75</v>
      </c>
      <c r="Q816">
        <v>2016</v>
      </c>
      <c r="R816" s="4">
        <v>42704</v>
      </c>
      <c r="S816" s="2">
        <v>42711</v>
      </c>
      <c r="T816" s="2">
        <v>42706</v>
      </c>
      <c r="U816" s="4">
        <v>42766</v>
      </c>
      <c r="V816" t="s">
        <v>71</v>
      </c>
      <c r="W816" t="str">
        <f>"             I162382"</f>
        <v xml:space="preserve">             I162382</v>
      </c>
      <c r="X816" s="1">
        <v>1317.6</v>
      </c>
      <c r="Y816">
        <v>0</v>
      </c>
      <c r="Z816" s="5">
        <v>1080</v>
      </c>
      <c r="AA816" s="3">
        <v>2</v>
      </c>
      <c r="AB816" s="5">
        <v>2160</v>
      </c>
      <c r="AC816" s="1">
        <v>1080</v>
      </c>
      <c r="AD816">
        <v>2</v>
      </c>
      <c r="AE816" s="1">
        <v>2160</v>
      </c>
      <c r="AF816">
        <v>0</v>
      </c>
      <c r="AJ816">
        <v>0</v>
      </c>
      <c r="AK816">
        <v>0</v>
      </c>
      <c r="AL816">
        <v>0</v>
      </c>
      <c r="AM816">
        <v>0</v>
      </c>
      <c r="AN816">
        <v>0</v>
      </c>
      <c r="AO816">
        <v>0</v>
      </c>
      <c r="AP816" s="2">
        <v>42831</v>
      </c>
      <c r="AQ816" t="s">
        <v>72</v>
      </c>
      <c r="AR816" t="s">
        <v>72</v>
      </c>
      <c r="AS816">
        <v>247</v>
      </c>
      <c r="AT816" s="4">
        <v>42768</v>
      </c>
      <c r="AU816" t="s">
        <v>73</v>
      </c>
      <c r="AV816">
        <v>247</v>
      </c>
      <c r="AW816" s="4">
        <v>42768</v>
      </c>
      <c r="BD816">
        <v>0</v>
      </c>
      <c r="BN816" t="s">
        <v>74</v>
      </c>
    </row>
    <row r="817" spans="1:66">
      <c r="A817">
        <v>101019</v>
      </c>
      <c r="B817" t="s">
        <v>226</v>
      </c>
      <c r="C817" s="1">
        <v>43300101</v>
      </c>
      <c r="D817" t="s">
        <v>67</v>
      </c>
      <c r="H817" t="str">
        <f t="shared" ref="H817:I821" si="106">"09771701001"</f>
        <v>09771701001</v>
      </c>
      <c r="I817" t="str">
        <f t="shared" si="106"/>
        <v>09771701001</v>
      </c>
      <c r="K817" t="str">
        <f>""</f>
        <v/>
      </c>
      <c r="M817" t="s">
        <v>68</v>
      </c>
      <c r="N817" t="str">
        <f t="shared" si="105"/>
        <v>FOR</v>
      </c>
      <c r="O817" t="s">
        <v>69</v>
      </c>
      <c r="P817" t="s">
        <v>75</v>
      </c>
      <c r="Q817">
        <v>2016</v>
      </c>
      <c r="R817" s="4">
        <v>42727</v>
      </c>
      <c r="S817" s="2">
        <v>42733</v>
      </c>
      <c r="T817" s="2">
        <v>42727</v>
      </c>
      <c r="U817" s="4">
        <v>42787</v>
      </c>
      <c r="V817" t="s">
        <v>71</v>
      </c>
      <c r="W817" t="str">
        <f>"          900026665T"</f>
        <v xml:space="preserve">          900026665T</v>
      </c>
      <c r="X817">
        <v>5.04</v>
      </c>
      <c r="Y817">
        <v>0</v>
      </c>
      <c r="Z817" s="5">
        <v>4.13</v>
      </c>
      <c r="AA817" s="3">
        <v>-21</v>
      </c>
      <c r="AB817" s="3">
        <v>-86.73</v>
      </c>
      <c r="AC817">
        <v>4.13</v>
      </c>
      <c r="AD817">
        <v>-21</v>
      </c>
      <c r="AE817">
        <v>-86.73</v>
      </c>
      <c r="AF817">
        <v>0</v>
      </c>
      <c r="AJ817">
        <v>0</v>
      </c>
      <c r="AK817">
        <v>0</v>
      </c>
      <c r="AL817">
        <v>0</v>
      </c>
      <c r="AM817">
        <v>0</v>
      </c>
      <c r="AN817">
        <v>0</v>
      </c>
      <c r="AO817">
        <v>0</v>
      </c>
      <c r="AP817" s="2">
        <v>42831</v>
      </c>
      <c r="AQ817" t="s">
        <v>72</v>
      </c>
      <c r="AR817" t="s">
        <v>72</v>
      </c>
      <c r="AS817">
        <v>159</v>
      </c>
      <c r="AT817" s="4">
        <v>42766</v>
      </c>
      <c r="AV817">
        <v>159</v>
      </c>
      <c r="AW817" s="4">
        <v>42766</v>
      </c>
      <c r="BD817">
        <v>0</v>
      </c>
      <c r="BN817" t="s">
        <v>74</v>
      </c>
    </row>
    <row r="818" spans="1:66">
      <c r="A818">
        <v>101019</v>
      </c>
      <c r="B818" t="s">
        <v>226</v>
      </c>
      <c r="C818" s="1">
        <v>43300101</v>
      </c>
      <c r="D818" t="s">
        <v>67</v>
      </c>
      <c r="H818" t="str">
        <f t="shared" si="106"/>
        <v>09771701001</v>
      </c>
      <c r="I818" t="str">
        <f t="shared" si="106"/>
        <v>09771701001</v>
      </c>
      <c r="K818" t="str">
        <f>""</f>
        <v/>
      </c>
      <c r="M818" t="s">
        <v>68</v>
      </c>
      <c r="N818" t="str">
        <f t="shared" si="105"/>
        <v>FOR</v>
      </c>
      <c r="O818" t="s">
        <v>69</v>
      </c>
      <c r="P818" t="s">
        <v>75</v>
      </c>
      <c r="Q818">
        <v>2016</v>
      </c>
      <c r="R818" s="4">
        <v>42727</v>
      </c>
      <c r="S818" s="2">
        <v>42733</v>
      </c>
      <c r="T818" s="2">
        <v>42727</v>
      </c>
      <c r="U818" s="4">
        <v>42787</v>
      </c>
      <c r="V818" t="s">
        <v>71</v>
      </c>
      <c r="W818" t="str">
        <f>"          900026977T"</f>
        <v xml:space="preserve">          900026977T</v>
      </c>
      <c r="X818">
        <v>6.3</v>
      </c>
      <c r="Y818">
        <v>0</v>
      </c>
      <c r="Z818" s="5">
        <v>5.16</v>
      </c>
      <c r="AA818" s="3">
        <v>-21</v>
      </c>
      <c r="AB818" s="3">
        <v>-108.36</v>
      </c>
      <c r="AC818">
        <v>5.16</v>
      </c>
      <c r="AD818">
        <v>-21</v>
      </c>
      <c r="AE818">
        <v>-108.36</v>
      </c>
      <c r="AF818">
        <v>0</v>
      </c>
      <c r="AJ818">
        <v>0</v>
      </c>
      <c r="AK818">
        <v>0</v>
      </c>
      <c r="AL818">
        <v>0</v>
      </c>
      <c r="AM818">
        <v>0</v>
      </c>
      <c r="AN818">
        <v>0</v>
      </c>
      <c r="AO818">
        <v>0</v>
      </c>
      <c r="AP818" s="2">
        <v>42831</v>
      </c>
      <c r="AQ818" t="s">
        <v>72</v>
      </c>
      <c r="AR818" t="s">
        <v>72</v>
      </c>
      <c r="AS818">
        <v>159</v>
      </c>
      <c r="AT818" s="4">
        <v>42766</v>
      </c>
      <c r="AV818">
        <v>159</v>
      </c>
      <c r="AW818" s="4">
        <v>42766</v>
      </c>
      <c r="BD818">
        <v>0</v>
      </c>
      <c r="BN818" t="s">
        <v>74</v>
      </c>
    </row>
    <row r="819" spans="1:66">
      <c r="A819">
        <v>101019</v>
      </c>
      <c r="B819" t="s">
        <v>226</v>
      </c>
      <c r="C819" s="1">
        <v>43300101</v>
      </c>
      <c r="D819" t="s">
        <v>67</v>
      </c>
      <c r="H819" t="str">
        <f t="shared" si="106"/>
        <v>09771701001</v>
      </c>
      <c r="I819" t="str">
        <f t="shared" si="106"/>
        <v>09771701001</v>
      </c>
      <c r="K819" t="str">
        <f>""</f>
        <v/>
      </c>
      <c r="M819" t="s">
        <v>68</v>
      </c>
      <c r="N819" t="str">
        <f t="shared" si="105"/>
        <v>FOR</v>
      </c>
      <c r="O819" t="s">
        <v>69</v>
      </c>
      <c r="P819" t="s">
        <v>75</v>
      </c>
      <c r="Q819">
        <v>2017</v>
      </c>
      <c r="R819" s="4">
        <v>42758</v>
      </c>
      <c r="S819" s="2">
        <v>42760</v>
      </c>
      <c r="T819" s="2">
        <v>42758</v>
      </c>
      <c r="U819" s="4">
        <v>42818</v>
      </c>
      <c r="V819" t="s">
        <v>71</v>
      </c>
      <c r="W819" t="str">
        <f>"          900000517T"</f>
        <v xml:space="preserve">          900000517T</v>
      </c>
      <c r="X819">
        <v>5.04</v>
      </c>
      <c r="Y819">
        <v>0</v>
      </c>
      <c r="Z819" s="5">
        <v>4.13</v>
      </c>
      <c r="AA819" s="3">
        <v>-52</v>
      </c>
      <c r="AB819" s="3">
        <v>-214.76</v>
      </c>
      <c r="AC819">
        <v>4.13</v>
      </c>
      <c r="AD819">
        <v>-52</v>
      </c>
      <c r="AE819">
        <v>-214.76</v>
      </c>
      <c r="AF819">
        <v>0</v>
      </c>
      <c r="AJ819">
        <v>0</v>
      </c>
      <c r="AK819">
        <v>5.04</v>
      </c>
      <c r="AL819">
        <v>5.04</v>
      </c>
      <c r="AM819">
        <v>0</v>
      </c>
      <c r="AN819">
        <v>5.04</v>
      </c>
      <c r="AO819">
        <v>5.04</v>
      </c>
      <c r="AP819" s="2">
        <v>42831</v>
      </c>
      <c r="AQ819" t="s">
        <v>72</v>
      </c>
      <c r="AR819" t="s">
        <v>72</v>
      </c>
      <c r="AS819">
        <v>159</v>
      </c>
      <c r="AT819" s="4">
        <v>42766</v>
      </c>
      <c r="AV819">
        <v>159</v>
      </c>
      <c r="AW819" s="4">
        <v>42766</v>
      </c>
      <c r="BD819">
        <v>0</v>
      </c>
      <c r="BN819" t="s">
        <v>74</v>
      </c>
    </row>
    <row r="820" spans="1:66">
      <c r="A820">
        <v>101019</v>
      </c>
      <c r="B820" t="s">
        <v>226</v>
      </c>
      <c r="C820" s="1">
        <v>43300101</v>
      </c>
      <c r="D820" t="s">
        <v>67</v>
      </c>
      <c r="H820" t="str">
        <f t="shared" si="106"/>
        <v>09771701001</v>
      </c>
      <c r="I820" t="str">
        <f t="shared" si="106"/>
        <v>09771701001</v>
      </c>
      <c r="K820" t="str">
        <f>""</f>
        <v/>
      </c>
      <c r="M820" t="s">
        <v>68</v>
      </c>
      <c r="N820" t="str">
        <f t="shared" si="105"/>
        <v>FOR</v>
      </c>
      <c r="O820" t="s">
        <v>69</v>
      </c>
      <c r="P820" t="s">
        <v>75</v>
      </c>
      <c r="Q820">
        <v>2017</v>
      </c>
      <c r="R820" s="4">
        <v>42789</v>
      </c>
      <c r="S820" s="2">
        <v>42794</v>
      </c>
      <c r="T820" s="2">
        <v>42789</v>
      </c>
      <c r="U820" s="4">
        <v>42849</v>
      </c>
      <c r="V820" t="s">
        <v>71</v>
      </c>
      <c r="W820" t="str">
        <f>"          900002715T"</f>
        <v xml:space="preserve">          900002715T</v>
      </c>
      <c r="X820">
        <v>29.83</v>
      </c>
      <c r="Y820">
        <v>0</v>
      </c>
      <c r="Z820" s="5">
        <v>28.92</v>
      </c>
      <c r="AA820" s="3">
        <v>-54</v>
      </c>
      <c r="AB820" s="5">
        <v>-1561.68</v>
      </c>
      <c r="AC820">
        <v>28.92</v>
      </c>
      <c r="AD820">
        <v>-54</v>
      </c>
      <c r="AE820" s="1">
        <v>-1561.68</v>
      </c>
      <c r="AF820">
        <v>0.91</v>
      </c>
      <c r="AJ820">
        <v>29.83</v>
      </c>
      <c r="AK820">
        <v>29.83</v>
      </c>
      <c r="AL820">
        <v>29.83</v>
      </c>
      <c r="AM820">
        <v>29.83</v>
      </c>
      <c r="AN820">
        <v>29.83</v>
      </c>
      <c r="AO820">
        <v>29.83</v>
      </c>
      <c r="AP820" s="2">
        <v>42831</v>
      </c>
      <c r="AQ820" t="s">
        <v>72</v>
      </c>
      <c r="AR820" t="s">
        <v>72</v>
      </c>
      <c r="AS820">
        <v>642</v>
      </c>
      <c r="AT820" s="4">
        <v>42795</v>
      </c>
      <c r="AV820">
        <v>642</v>
      </c>
      <c r="AW820" s="4">
        <v>42795</v>
      </c>
      <c r="BD820">
        <v>0</v>
      </c>
      <c r="BF820">
        <v>0.91</v>
      </c>
      <c r="BN820" t="s">
        <v>74</v>
      </c>
    </row>
    <row r="821" spans="1:66">
      <c r="A821">
        <v>101019</v>
      </c>
      <c r="B821" t="s">
        <v>226</v>
      </c>
      <c r="C821" s="1">
        <v>43300101</v>
      </c>
      <c r="D821" t="s">
        <v>67</v>
      </c>
      <c r="H821" t="str">
        <f t="shared" si="106"/>
        <v>09771701001</v>
      </c>
      <c r="I821" t="str">
        <f t="shared" si="106"/>
        <v>09771701001</v>
      </c>
      <c r="K821" t="str">
        <f>""</f>
        <v/>
      </c>
      <c r="M821" t="s">
        <v>68</v>
      </c>
      <c r="N821" t="str">
        <f t="shared" si="105"/>
        <v>FOR</v>
      </c>
      <c r="O821" t="s">
        <v>69</v>
      </c>
      <c r="P821" t="s">
        <v>75</v>
      </c>
      <c r="Q821">
        <v>2017</v>
      </c>
      <c r="R821" s="4">
        <v>42789</v>
      </c>
      <c r="S821" s="2">
        <v>42794</v>
      </c>
      <c r="T821" s="2">
        <v>42789</v>
      </c>
      <c r="U821" s="4">
        <v>42849</v>
      </c>
      <c r="V821" t="s">
        <v>71</v>
      </c>
      <c r="W821" t="str">
        <f>"          900003014T"</f>
        <v xml:space="preserve">          900003014T</v>
      </c>
      <c r="X821">
        <v>18.010000000000002</v>
      </c>
      <c r="Y821">
        <v>0</v>
      </c>
      <c r="Z821" s="5">
        <v>17.559999999999999</v>
      </c>
      <c r="AA821" s="3">
        <v>-54</v>
      </c>
      <c r="AB821" s="3">
        <v>-948.24</v>
      </c>
      <c r="AC821">
        <v>17.559999999999999</v>
      </c>
      <c r="AD821">
        <v>-54</v>
      </c>
      <c r="AE821">
        <v>-948.24</v>
      </c>
      <c r="AF821">
        <v>0.45</v>
      </c>
      <c r="AJ821">
        <v>0</v>
      </c>
      <c r="AK821">
        <v>18.010000000000002</v>
      </c>
      <c r="AL821">
        <v>18.010000000000002</v>
      </c>
      <c r="AM821">
        <v>0</v>
      </c>
      <c r="AN821">
        <v>18.010000000000002</v>
      </c>
      <c r="AO821">
        <v>18.010000000000002</v>
      </c>
      <c r="AP821" s="2">
        <v>42831</v>
      </c>
      <c r="AQ821" t="s">
        <v>72</v>
      </c>
      <c r="AR821" t="s">
        <v>72</v>
      </c>
      <c r="AS821">
        <v>642</v>
      </c>
      <c r="AT821" s="4">
        <v>42795</v>
      </c>
      <c r="AV821">
        <v>642</v>
      </c>
      <c r="AW821" s="4">
        <v>42795</v>
      </c>
      <c r="BD821">
        <v>0</v>
      </c>
      <c r="BF821">
        <v>0.45</v>
      </c>
      <c r="BN821" t="s">
        <v>74</v>
      </c>
    </row>
    <row r="822" spans="1:66">
      <c r="A822">
        <v>101028</v>
      </c>
      <c r="B822" t="s">
        <v>227</v>
      </c>
      <c r="C822" s="1">
        <v>43300101</v>
      </c>
      <c r="D822" t="s">
        <v>67</v>
      </c>
      <c r="H822" t="str">
        <f>"06209390969"</f>
        <v>06209390969</v>
      </c>
      <c r="I822" t="str">
        <f>"06209390969"</f>
        <v>06209390969</v>
      </c>
      <c r="K822" t="str">
        <f>""</f>
        <v/>
      </c>
      <c r="M822" t="s">
        <v>68</v>
      </c>
      <c r="N822" t="str">
        <f t="shared" si="105"/>
        <v>FOR</v>
      </c>
      <c r="O822" t="s">
        <v>69</v>
      </c>
      <c r="P822" t="s">
        <v>70</v>
      </c>
      <c r="Q822">
        <v>2015</v>
      </c>
      <c r="R822" s="4">
        <v>42116</v>
      </c>
      <c r="S822" s="2">
        <v>42734</v>
      </c>
      <c r="T822" s="2">
        <v>42734</v>
      </c>
      <c r="U822" s="4">
        <v>42794</v>
      </c>
      <c r="V822" t="s">
        <v>71</v>
      </c>
      <c r="W822" t="str">
        <f>"          3006373089"</f>
        <v xml:space="preserve">          3006373089</v>
      </c>
      <c r="X822">
        <v>147.26</v>
      </c>
      <c r="Y822">
        <v>0</v>
      </c>
      <c r="Z822" s="5">
        <v>141.6</v>
      </c>
      <c r="AA822" s="3">
        <v>-26</v>
      </c>
      <c r="AB822" s="5">
        <v>-3681.6</v>
      </c>
      <c r="AC822">
        <v>141.6</v>
      </c>
      <c r="AD822">
        <v>-26</v>
      </c>
      <c r="AE822" s="1">
        <v>-3681.6</v>
      </c>
      <c r="AF822">
        <v>0</v>
      </c>
      <c r="AJ822">
        <v>0</v>
      </c>
      <c r="AK822">
        <v>0</v>
      </c>
      <c r="AL822">
        <v>0</v>
      </c>
      <c r="AM822">
        <v>0</v>
      </c>
      <c r="AN822">
        <v>0</v>
      </c>
      <c r="AO822">
        <v>0</v>
      </c>
      <c r="AP822" s="2">
        <v>42831</v>
      </c>
      <c r="AQ822" t="s">
        <v>72</v>
      </c>
      <c r="AR822" t="s">
        <v>72</v>
      </c>
      <c r="AS822">
        <v>236</v>
      </c>
      <c r="AT822" s="4">
        <v>42768</v>
      </c>
      <c r="AV822">
        <v>236</v>
      </c>
      <c r="AW822" s="4">
        <v>42768</v>
      </c>
      <c r="BD822">
        <v>0</v>
      </c>
      <c r="BN822" t="s">
        <v>74</v>
      </c>
    </row>
    <row r="823" spans="1:66">
      <c r="A823">
        <v>101028</v>
      </c>
      <c r="B823" t="s">
        <v>227</v>
      </c>
      <c r="C823" s="1">
        <v>43300101</v>
      </c>
      <c r="D823" t="s">
        <v>67</v>
      </c>
      <c r="H823" t="str">
        <f>"06209390969"</f>
        <v>06209390969</v>
      </c>
      <c r="I823" t="str">
        <f>"06209390969"</f>
        <v>06209390969</v>
      </c>
      <c r="K823" t="str">
        <f>""</f>
        <v/>
      </c>
      <c r="M823" t="s">
        <v>68</v>
      </c>
      <c r="N823" t="str">
        <f t="shared" si="105"/>
        <v>FOR</v>
      </c>
      <c r="O823" t="s">
        <v>69</v>
      </c>
      <c r="P823" t="s">
        <v>70</v>
      </c>
      <c r="Q823">
        <v>2015</v>
      </c>
      <c r="R823" s="4">
        <v>42194</v>
      </c>
      <c r="S823" s="2">
        <v>42734</v>
      </c>
      <c r="T823" s="2">
        <v>42734</v>
      </c>
      <c r="U823" s="4">
        <v>42794</v>
      </c>
      <c r="V823" t="s">
        <v>71</v>
      </c>
      <c r="W823" t="str">
        <f>"          3006389001"</f>
        <v xml:space="preserve">          3006389001</v>
      </c>
      <c r="X823">
        <v>163.07</v>
      </c>
      <c r="Y823">
        <v>0</v>
      </c>
      <c r="Z823" s="5">
        <v>156.80000000000001</v>
      </c>
      <c r="AA823" s="3">
        <v>-26</v>
      </c>
      <c r="AB823" s="5">
        <v>-4076.8</v>
      </c>
      <c r="AC823">
        <v>156.80000000000001</v>
      </c>
      <c r="AD823">
        <v>-26</v>
      </c>
      <c r="AE823" s="1">
        <v>-4076.8</v>
      </c>
      <c r="AF823">
        <v>0</v>
      </c>
      <c r="AJ823">
        <v>0</v>
      </c>
      <c r="AK823">
        <v>0</v>
      </c>
      <c r="AL823">
        <v>0</v>
      </c>
      <c r="AM823">
        <v>0</v>
      </c>
      <c r="AN823">
        <v>0</v>
      </c>
      <c r="AO823">
        <v>0</v>
      </c>
      <c r="AP823" s="2">
        <v>42831</v>
      </c>
      <c r="AQ823" t="s">
        <v>72</v>
      </c>
      <c r="AR823" t="s">
        <v>72</v>
      </c>
      <c r="AS823">
        <v>236</v>
      </c>
      <c r="AT823" s="4">
        <v>42768</v>
      </c>
      <c r="AV823">
        <v>236</v>
      </c>
      <c r="AW823" s="4">
        <v>42768</v>
      </c>
      <c r="BD823">
        <v>0</v>
      </c>
      <c r="BN823" t="s">
        <v>74</v>
      </c>
    </row>
    <row r="824" spans="1:66">
      <c r="A824">
        <v>101029</v>
      </c>
      <c r="B824" t="s">
        <v>228</v>
      </c>
      <c r="C824" s="1">
        <v>43500101</v>
      </c>
      <c r="D824" t="s">
        <v>98</v>
      </c>
      <c r="H824" t="str">
        <f>"MZZLRT67A08A783W"</f>
        <v>MZZLRT67A08A783W</v>
      </c>
      <c r="I824" t="str">
        <f>"01189210626"</f>
        <v>01189210626</v>
      </c>
      <c r="K824" t="str">
        <f>""</f>
        <v/>
      </c>
      <c r="M824" t="s">
        <v>68</v>
      </c>
      <c r="N824" t="str">
        <f>"ALTPRO"</f>
        <v>ALTPRO</v>
      </c>
      <c r="O824" t="s">
        <v>116</v>
      </c>
      <c r="P824" t="s">
        <v>75</v>
      </c>
      <c r="Q824">
        <v>2017</v>
      </c>
      <c r="R824" s="4">
        <v>42754</v>
      </c>
      <c r="S824" s="2">
        <v>42755</v>
      </c>
      <c r="T824" s="2">
        <v>42754</v>
      </c>
      <c r="U824" s="4">
        <v>42814</v>
      </c>
      <c r="V824" t="s">
        <v>71</v>
      </c>
      <c r="W824" t="str">
        <f>"             1E/2017"</f>
        <v xml:space="preserve">             1E/2017</v>
      </c>
      <c r="X824" s="1">
        <v>3104</v>
      </c>
      <c r="Y824">
        <v>-481.95</v>
      </c>
      <c r="Z824" s="5">
        <v>2622.05</v>
      </c>
      <c r="AA824" s="3">
        <v>-5</v>
      </c>
      <c r="AB824" s="5">
        <v>-13110.25</v>
      </c>
      <c r="AC824" s="1">
        <v>2622.05</v>
      </c>
      <c r="AD824">
        <v>-5</v>
      </c>
      <c r="AE824" s="1">
        <v>-13110.25</v>
      </c>
      <c r="AF824">
        <v>0</v>
      </c>
      <c r="AJ824" s="1">
        <v>2622.05</v>
      </c>
      <c r="AK824" s="1">
        <v>2622.05</v>
      </c>
      <c r="AL824" s="1">
        <v>2622.05</v>
      </c>
      <c r="AM824" s="1">
        <v>2622.05</v>
      </c>
      <c r="AN824" s="1">
        <v>2622.05</v>
      </c>
      <c r="AO824" s="1">
        <v>2622.05</v>
      </c>
      <c r="AP824" s="2">
        <v>42831</v>
      </c>
      <c r="AQ824" t="s">
        <v>72</v>
      </c>
      <c r="AR824" t="s">
        <v>72</v>
      </c>
      <c r="AS824">
        <v>761</v>
      </c>
      <c r="AT824" s="4">
        <v>42809</v>
      </c>
      <c r="AV824">
        <v>761</v>
      </c>
      <c r="AW824" s="4">
        <v>42809</v>
      </c>
      <c r="BD824">
        <v>0</v>
      </c>
      <c r="BN824" t="s">
        <v>74</v>
      </c>
    </row>
    <row r="825" spans="1:66">
      <c r="A825">
        <v>101035</v>
      </c>
      <c r="B825" t="s">
        <v>229</v>
      </c>
      <c r="C825" s="1">
        <v>43300101</v>
      </c>
      <c r="D825" t="s">
        <v>67</v>
      </c>
      <c r="H825" t="str">
        <f>"00133360081"</f>
        <v>00133360081</v>
      </c>
      <c r="I825" t="str">
        <f>"01737830230"</f>
        <v>01737830230</v>
      </c>
      <c r="K825" t="str">
        <f>""</f>
        <v/>
      </c>
      <c r="M825" t="s">
        <v>68</v>
      </c>
      <c r="N825" t="str">
        <f t="shared" ref="N825:N832" si="107">"FOR"</f>
        <v>FOR</v>
      </c>
      <c r="O825" t="s">
        <v>69</v>
      </c>
      <c r="P825" t="s">
        <v>75</v>
      </c>
      <c r="Q825">
        <v>2016</v>
      </c>
      <c r="R825" s="4">
        <v>42681</v>
      </c>
      <c r="S825" s="2">
        <v>42682</v>
      </c>
      <c r="T825" s="2">
        <v>42681</v>
      </c>
      <c r="U825" s="4">
        <v>42741</v>
      </c>
      <c r="V825" t="s">
        <v>71</v>
      </c>
      <c r="W825" t="str">
        <f>"           S1/011157"</f>
        <v xml:space="preserve">           S1/011157</v>
      </c>
      <c r="X825">
        <v>858</v>
      </c>
      <c r="Y825">
        <v>0</v>
      </c>
      <c r="Z825" s="5">
        <v>780</v>
      </c>
      <c r="AA825" s="3">
        <v>33</v>
      </c>
      <c r="AB825" s="5">
        <v>25740</v>
      </c>
      <c r="AC825">
        <v>780</v>
      </c>
      <c r="AD825">
        <v>33</v>
      </c>
      <c r="AE825" s="1">
        <v>25740</v>
      </c>
      <c r="AF825">
        <v>0</v>
      </c>
      <c r="AJ825">
        <v>0</v>
      </c>
      <c r="AK825">
        <v>0</v>
      </c>
      <c r="AL825">
        <v>0</v>
      </c>
      <c r="AM825">
        <v>0</v>
      </c>
      <c r="AN825">
        <v>0</v>
      </c>
      <c r="AO825">
        <v>0</v>
      </c>
      <c r="AP825" s="2">
        <v>42831</v>
      </c>
      <c r="AQ825" t="s">
        <v>72</v>
      </c>
      <c r="AR825" t="s">
        <v>72</v>
      </c>
      <c r="AS825">
        <v>337</v>
      </c>
      <c r="AT825" s="4">
        <v>42774</v>
      </c>
      <c r="AU825" t="s">
        <v>73</v>
      </c>
      <c r="AV825">
        <v>337</v>
      </c>
      <c r="AW825" s="4">
        <v>42774</v>
      </c>
      <c r="BD825">
        <v>0</v>
      </c>
      <c r="BN825" t="s">
        <v>74</v>
      </c>
    </row>
    <row r="826" spans="1:66">
      <c r="A826">
        <v>101035</v>
      </c>
      <c r="B826" t="s">
        <v>229</v>
      </c>
      <c r="C826" s="1">
        <v>43300101</v>
      </c>
      <c r="D826" t="s">
        <v>67</v>
      </c>
      <c r="H826" t="str">
        <f>"00133360081"</f>
        <v>00133360081</v>
      </c>
      <c r="I826" t="str">
        <f>"01737830230"</f>
        <v>01737830230</v>
      </c>
      <c r="K826" t="str">
        <f>""</f>
        <v/>
      </c>
      <c r="M826" t="s">
        <v>68</v>
      </c>
      <c r="N826" t="str">
        <f t="shared" si="107"/>
        <v>FOR</v>
      </c>
      <c r="O826" t="s">
        <v>69</v>
      </c>
      <c r="P826" t="s">
        <v>75</v>
      </c>
      <c r="Q826">
        <v>2016</v>
      </c>
      <c r="R826" s="4">
        <v>42704</v>
      </c>
      <c r="S826" s="2">
        <v>42705</v>
      </c>
      <c r="T826" s="2">
        <v>42704</v>
      </c>
      <c r="U826" s="4">
        <v>42764</v>
      </c>
      <c r="V826" t="s">
        <v>71</v>
      </c>
      <c r="W826" t="str">
        <f>"           S1/012152"</f>
        <v xml:space="preserve">           S1/012152</v>
      </c>
      <c r="X826">
        <v>514.79999999999995</v>
      </c>
      <c r="Y826">
        <v>0</v>
      </c>
      <c r="Z826" s="5">
        <v>468</v>
      </c>
      <c r="AA826" s="3">
        <v>10</v>
      </c>
      <c r="AB826" s="5">
        <v>4680</v>
      </c>
      <c r="AC826">
        <v>468</v>
      </c>
      <c r="AD826">
        <v>10</v>
      </c>
      <c r="AE826" s="1">
        <v>4680</v>
      </c>
      <c r="AF826">
        <v>0</v>
      </c>
      <c r="AJ826">
        <v>0</v>
      </c>
      <c r="AK826">
        <v>0</v>
      </c>
      <c r="AL826">
        <v>0</v>
      </c>
      <c r="AM826">
        <v>0</v>
      </c>
      <c r="AN826">
        <v>0</v>
      </c>
      <c r="AO826">
        <v>0</v>
      </c>
      <c r="AP826" s="2">
        <v>42831</v>
      </c>
      <c r="AQ826" t="s">
        <v>72</v>
      </c>
      <c r="AR826" t="s">
        <v>72</v>
      </c>
      <c r="AS826">
        <v>337</v>
      </c>
      <c r="AT826" s="4">
        <v>42774</v>
      </c>
      <c r="AU826" t="s">
        <v>73</v>
      </c>
      <c r="AV826">
        <v>337</v>
      </c>
      <c r="AW826" s="4">
        <v>42774</v>
      </c>
      <c r="BD826">
        <v>0</v>
      </c>
      <c r="BN826" t="s">
        <v>74</v>
      </c>
    </row>
    <row r="827" spans="1:66">
      <c r="A827">
        <v>101035</v>
      </c>
      <c r="B827" t="s">
        <v>229</v>
      </c>
      <c r="C827" s="1">
        <v>43300101</v>
      </c>
      <c r="D827" t="s">
        <v>67</v>
      </c>
      <c r="H827" t="str">
        <f>"00133360081"</f>
        <v>00133360081</v>
      </c>
      <c r="I827" t="str">
        <f>"01737830230"</f>
        <v>01737830230</v>
      </c>
      <c r="K827" t="str">
        <f>""</f>
        <v/>
      </c>
      <c r="M827" t="s">
        <v>68</v>
      </c>
      <c r="N827" t="str">
        <f t="shared" si="107"/>
        <v>FOR</v>
      </c>
      <c r="O827" t="s">
        <v>69</v>
      </c>
      <c r="P827" t="s">
        <v>75</v>
      </c>
      <c r="Q827">
        <v>2016</v>
      </c>
      <c r="R827" s="4">
        <v>42718</v>
      </c>
      <c r="S827" s="2">
        <v>42727</v>
      </c>
      <c r="T827" s="2">
        <v>42718</v>
      </c>
      <c r="U827" s="4">
        <v>42778</v>
      </c>
      <c r="V827" t="s">
        <v>71</v>
      </c>
      <c r="W827" t="str">
        <f>"           S1/012693"</f>
        <v xml:space="preserve">           S1/012693</v>
      </c>
      <c r="X827">
        <v>840.84</v>
      </c>
      <c r="Y827">
        <v>0</v>
      </c>
      <c r="Z827" s="5">
        <v>764.4</v>
      </c>
      <c r="AA827" s="3">
        <v>-4</v>
      </c>
      <c r="AB827" s="5">
        <v>-3057.6</v>
      </c>
      <c r="AC827">
        <v>764.4</v>
      </c>
      <c r="AD827">
        <v>-4</v>
      </c>
      <c r="AE827" s="1">
        <v>-3057.6</v>
      </c>
      <c r="AF827">
        <v>0</v>
      </c>
      <c r="AJ827">
        <v>0</v>
      </c>
      <c r="AK827">
        <v>0</v>
      </c>
      <c r="AL827">
        <v>0</v>
      </c>
      <c r="AM827">
        <v>0</v>
      </c>
      <c r="AN827">
        <v>0</v>
      </c>
      <c r="AO827">
        <v>0</v>
      </c>
      <c r="AP827" s="2">
        <v>42831</v>
      </c>
      <c r="AQ827" t="s">
        <v>72</v>
      </c>
      <c r="AR827" t="s">
        <v>72</v>
      </c>
      <c r="AS827">
        <v>337</v>
      </c>
      <c r="AT827" s="4">
        <v>42774</v>
      </c>
      <c r="AV827">
        <v>337</v>
      </c>
      <c r="AW827" s="4">
        <v>42774</v>
      </c>
      <c r="BD827">
        <v>0</v>
      </c>
      <c r="BN827" t="s">
        <v>74</v>
      </c>
    </row>
    <row r="828" spans="1:66">
      <c r="A828">
        <v>101041</v>
      </c>
      <c r="B828" t="s">
        <v>230</v>
      </c>
      <c r="C828" s="1">
        <v>43300101</v>
      </c>
      <c r="D828" t="s">
        <v>67</v>
      </c>
      <c r="H828" t="str">
        <f t="shared" ref="H828:I832" si="108">"01329190621"</f>
        <v>01329190621</v>
      </c>
      <c r="I828" t="str">
        <f t="shared" si="108"/>
        <v>01329190621</v>
      </c>
      <c r="K828" t="str">
        <f>""</f>
        <v/>
      </c>
      <c r="M828" t="s">
        <v>68</v>
      </c>
      <c r="N828" t="str">
        <f t="shared" si="107"/>
        <v>FOR</v>
      </c>
      <c r="O828" t="s">
        <v>69</v>
      </c>
      <c r="P828" t="s">
        <v>75</v>
      </c>
      <c r="Q828">
        <v>2016</v>
      </c>
      <c r="R828" s="4">
        <v>42548</v>
      </c>
      <c r="S828" s="2">
        <v>42549</v>
      </c>
      <c r="T828" s="2">
        <v>42548</v>
      </c>
      <c r="U828" s="4">
        <v>42608</v>
      </c>
      <c r="V828" t="s">
        <v>71</v>
      </c>
      <c r="W828" t="str">
        <f>"               77/PA"</f>
        <v xml:space="preserve">               77/PA</v>
      </c>
      <c r="X828">
        <v>85.4</v>
      </c>
      <c r="Y828">
        <v>0</v>
      </c>
      <c r="Z828" s="5">
        <v>70</v>
      </c>
      <c r="AA828" s="3">
        <v>164</v>
      </c>
      <c r="AB828" s="5">
        <v>11480</v>
      </c>
      <c r="AC828">
        <v>70</v>
      </c>
      <c r="AD828">
        <v>164</v>
      </c>
      <c r="AE828" s="1">
        <v>11480</v>
      </c>
      <c r="AF828">
        <v>15.4</v>
      </c>
      <c r="AJ828">
        <v>0</v>
      </c>
      <c r="AK828">
        <v>0</v>
      </c>
      <c r="AL828">
        <v>0</v>
      </c>
      <c r="AM828">
        <v>0</v>
      </c>
      <c r="AN828">
        <v>0</v>
      </c>
      <c r="AO828">
        <v>0</v>
      </c>
      <c r="AP828" s="2">
        <v>42831</v>
      </c>
      <c r="AQ828" t="s">
        <v>72</v>
      </c>
      <c r="AR828" t="s">
        <v>72</v>
      </c>
      <c r="AS828">
        <v>292</v>
      </c>
      <c r="AT828" s="4">
        <v>42772</v>
      </c>
      <c r="AU828" t="s">
        <v>73</v>
      </c>
      <c r="AV828">
        <v>292</v>
      </c>
      <c r="AW828" s="4">
        <v>42772</v>
      </c>
      <c r="BD828">
        <v>15.4</v>
      </c>
      <c r="BN828" t="s">
        <v>74</v>
      </c>
    </row>
    <row r="829" spans="1:66">
      <c r="A829">
        <v>101041</v>
      </c>
      <c r="B829" t="s">
        <v>230</v>
      </c>
      <c r="C829" s="1">
        <v>43300101</v>
      </c>
      <c r="D829" t="s">
        <v>67</v>
      </c>
      <c r="H829" t="str">
        <f t="shared" si="108"/>
        <v>01329190621</v>
      </c>
      <c r="I829" t="str">
        <f t="shared" si="108"/>
        <v>01329190621</v>
      </c>
      <c r="K829" t="str">
        <f>""</f>
        <v/>
      </c>
      <c r="M829" t="s">
        <v>68</v>
      </c>
      <c r="N829" t="str">
        <f t="shared" si="107"/>
        <v>FOR</v>
      </c>
      <c r="O829" t="s">
        <v>69</v>
      </c>
      <c r="P829" t="s">
        <v>75</v>
      </c>
      <c r="Q829">
        <v>2016</v>
      </c>
      <c r="R829" s="4">
        <v>42548</v>
      </c>
      <c r="S829" s="2">
        <v>42549</v>
      </c>
      <c r="T829" s="2">
        <v>42548</v>
      </c>
      <c r="U829" s="4">
        <v>42608</v>
      </c>
      <c r="V829" t="s">
        <v>71</v>
      </c>
      <c r="W829" t="str">
        <f>"               79/PA"</f>
        <v xml:space="preserve">               79/PA</v>
      </c>
      <c r="X829">
        <v>48.8</v>
      </c>
      <c r="Y829">
        <v>0</v>
      </c>
      <c r="Z829" s="5">
        <v>40</v>
      </c>
      <c r="AA829" s="3">
        <v>164</v>
      </c>
      <c r="AB829" s="5">
        <v>6560</v>
      </c>
      <c r="AC829">
        <v>40</v>
      </c>
      <c r="AD829">
        <v>164</v>
      </c>
      <c r="AE829" s="1">
        <v>6560</v>
      </c>
      <c r="AF829">
        <v>8.8000000000000007</v>
      </c>
      <c r="AJ829">
        <v>0</v>
      </c>
      <c r="AK829">
        <v>0</v>
      </c>
      <c r="AL829">
        <v>0</v>
      </c>
      <c r="AM829">
        <v>0</v>
      </c>
      <c r="AN829">
        <v>0</v>
      </c>
      <c r="AO829">
        <v>0</v>
      </c>
      <c r="AP829" s="2">
        <v>42831</v>
      </c>
      <c r="AQ829" t="s">
        <v>72</v>
      </c>
      <c r="AR829" t="s">
        <v>72</v>
      </c>
      <c r="AS829">
        <v>292</v>
      </c>
      <c r="AT829" s="4">
        <v>42772</v>
      </c>
      <c r="AU829" t="s">
        <v>73</v>
      </c>
      <c r="AV829">
        <v>292</v>
      </c>
      <c r="AW829" s="4">
        <v>42772</v>
      </c>
      <c r="BD829">
        <v>8.8000000000000007</v>
      </c>
      <c r="BN829" t="s">
        <v>74</v>
      </c>
    </row>
    <row r="830" spans="1:66">
      <c r="A830">
        <v>101041</v>
      </c>
      <c r="B830" t="s">
        <v>230</v>
      </c>
      <c r="C830" s="1">
        <v>43300101</v>
      </c>
      <c r="D830" t="s">
        <v>67</v>
      </c>
      <c r="H830" t="str">
        <f t="shared" si="108"/>
        <v>01329190621</v>
      </c>
      <c r="I830" t="str">
        <f t="shared" si="108"/>
        <v>01329190621</v>
      </c>
      <c r="K830" t="str">
        <f>""</f>
        <v/>
      </c>
      <c r="M830" t="s">
        <v>68</v>
      </c>
      <c r="N830" t="str">
        <f t="shared" si="107"/>
        <v>FOR</v>
      </c>
      <c r="O830" t="s">
        <v>69</v>
      </c>
      <c r="P830" t="s">
        <v>75</v>
      </c>
      <c r="Q830">
        <v>2016</v>
      </c>
      <c r="R830" s="4">
        <v>42548</v>
      </c>
      <c r="S830" s="2">
        <v>42549</v>
      </c>
      <c r="T830" s="2">
        <v>42548</v>
      </c>
      <c r="U830" s="4">
        <v>42608</v>
      </c>
      <c r="V830" t="s">
        <v>71</v>
      </c>
      <c r="W830" t="str">
        <f>"               80/PA"</f>
        <v xml:space="preserve">               80/PA</v>
      </c>
      <c r="X830">
        <v>732</v>
      </c>
      <c r="Y830">
        <v>0</v>
      </c>
      <c r="Z830" s="5">
        <v>600</v>
      </c>
      <c r="AA830" s="3">
        <v>164</v>
      </c>
      <c r="AB830" s="5">
        <v>98400</v>
      </c>
      <c r="AC830">
        <v>600</v>
      </c>
      <c r="AD830">
        <v>164</v>
      </c>
      <c r="AE830" s="1">
        <v>98400</v>
      </c>
      <c r="AF830">
        <v>132</v>
      </c>
      <c r="AJ830">
        <v>0</v>
      </c>
      <c r="AK830">
        <v>0</v>
      </c>
      <c r="AL830">
        <v>0</v>
      </c>
      <c r="AM830">
        <v>0</v>
      </c>
      <c r="AN830">
        <v>0</v>
      </c>
      <c r="AO830">
        <v>0</v>
      </c>
      <c r="AP830" s="2">
        <v>42831</v>
      </c>
      <c r="AQ830" t="s">
        <v>72</v>
      </c>
      <c r="AR830" t="s">
        <v>72</v>
      </c>
      <c r="AS830">
        <v>292</v>
      </c>
      <c r="AT830" s="4">
        <v>42772</v>
      </c>
      <c r="AU830" t="s">
        <v>73</v>
      </c>
      <c r="AV830">
        <v>292</v>
      </c>
      <c r="AW830" s="4">
        <v>42772</v>
      </c>
      <c r="BD830">
        <v>132</v>
      </c>
      <c r="BN830" t="s">
        <v>74</v>
      </c>
    </row>
    <row r="831" spans="1:66">
      <c r="A831">
        <v>101041</v>
      </c>
      <c r="B831" t="s">
        <v>230</v>
      </c>
      <c r="C831" s="1">
        <v>43300101</v>
      </c>
      <c r="D831" t="s">
        <v>67</v>
      </c>
      <c r="H831" t="str">
        <f t="shared" si="108"/>
        <v>01329190621</v>
      </c>
      <c r="I831" t="str">
        <f t="shared" si="108"/>
        <v>01329190621</v>
      </c>
      <c r="K831" t="str">
        <f>""</f>
        <v/>
      </c>
      <c r="M831" t="s">
        <v>68</v>
      </c>
      <c r="N831" t="str">
        <f t="shared" si="107"/>
        <v>FOR</v>
      </c>
      <c r="O831" t="s">
        <v>69</v>
      </c>
      <c r="P831" t="s">
        <v>75</v>
      </c>
      <c r="Q831">
        <v>2016</v>
      </c>
      <c r="R831" s="4">
        <v>42548</v>
      </c>
      <c r="S831" s="2">
        <v>42549</v>
      </c>
      <c r="T831" s="2">
        <v>42548</v>
      </c>
      <c r="U831" s="4">
        <v>42608</v>
      </c>
      <c r="V831" t="s">
        <v>71</v>
      </c>
      <c r="W831" t="str">
        <f>"               83/PA"</f>
        <v xml:space="preserve">               83/PA</v>
      </c>
      <c r="X831" s="1">
        <v>1220</v>
      </c>
      <c r="Y831">
        <v>0</v>
      </c>
      <c r="Z831" s="5">
        <v>1000</v>
      </c>
      <c r="AA831" s="3">
        <v>164</v>
      </c>
      <c r="AB831" s="5">
        <v>164000</v>
      </c>
      <c r="AC831" s="1">
        <v>1000</v>
      </c>
      <c r="AD831">
        <v>164</v>
      </c>
      <c r="AE831" s="1">
        <v>164000</v>
      </c>
      <c r="AF831">
        <v>220</v>
      </c>
      <c r="AJ831">
        <v>0</v>
      </c>
      <c r="AK831">
        <v>0</v>
      </c>
      <c r="AL831">
        <v>0</v>
      </c>
      <c r="AM831">
        <v>0</v>
      </c>
      <c r="AN831">
        <v>0</v>
      </c>
      <c r="AO831">
        <v>0</v>
      </c>
      <c r="AP831" s="2">
        <v>42831</v>
      </c>
      <c r="AQ831" t="s">
        <v>72</v>
      </c>
      <c r="AR831" t="s">
        <v>72</v>
      </c>
      <c r="AS831">
        <v>292</v>
      </c>
      <c r="AT831" s="4">
        <v>42772</v>
      </c>
      <c r="AU831" t="s">
        <v>73</v>
      </c>
      <c r="AV831">
        <v>292</v>
      </c>
      <c r="AW831" s="4">
        <v>42772</v>
      </c>
      <c r="BD831">
        <v>220</v>
      </c>
      <c r="BN831" t="s">
        <v>74</v>
      </c>
    </row>
    <row r="832" spans="1:66">
      <c r="A832">
        <v>101041</v>
      </c>
      <c r="B832" t="s">
        <v>230</v>
      </c>
      <c r="C832" s="1">
        <v>43300101</v>
      </c>
      <c r="D832" t="s">
        <v>67</v>
      </c>
      <c r="H832" t="str">
        <f t="shared" si="108"/>
        <v>01329190621</v>
      </c>
      <c r="I832" t="str">
        <f t="shared" si="108"/>
        <v>01329190621</v>
      </c>
      <c r="K832" t="str">
        <f>""</f>
        <v/>
      </c>
      <c r="M832" t="s">
        <v>68</v>
      </c>
      <c r="N832" t="str">
        <f t="shared" si="107"/>
        <v>FOR</v>
      </c>
      <c r="O832" t="s">
        <v>69</v>
      </c>
      <c r="P832" t="s">
        <v>75</v>
      </c>
      <c r="Q832">
        <v>2016</v>
      </c>
      <c r="R832" s="4">
        <v>42627</v>
      </c>
      <c r="S832" s="2">
        <v>42627</v>
      </c>
      <c r="T832" s="2">
        <v>42627</v>
      </c>
      <c r="U832" s="4">
        <v>42687</v>
      </c>
      <c r="V832" t="s">
        <v>71</v>
      </c>
      <c r="W832" t="str">
        <f>"              116/PA"</f>
        <v xml:space="preserve">              116/PA</v>
      </c>
      <c r="X832">
        <v>457.5</v>
      </c>
      <c r="Y832">
        <v>0</v>
      </c>
      <c r="Z832" s="5">
        <v>375</v>
      </c>
      <c r="AA832" s="3">
        <v>85</v>
      </c>
      <c r="AB832" s="5">
        <v>31875</v>
      </c>
      <c r="AC832">
        <v>375</v>
      </c>
      <c r="AD832">
        <v>85</v>
      </c>
      <c r="AE832" s="1">
        <v>31875</v>
      </c>
      <c r="AF832">
        <v>82.5</v>
      </c>
      <c r="AJ832">
        <v>0</v>
      </c>
      <c r="AK832">
        <v>0</v>
      </c>
      <c r="AL832">
        <v>0</v>
      </c>
      <c r="AM832">
        <v>0</v>
      </c>
      <c r="AN832">
        <v>0</v>
      </c>
      <c r="AO832">
        <v>0</v>
      </c>
      <c r="AP832" s="2">
        <v>42831</v>
      </c>
      <c r="AQ832" t="s">
        <v>72</v>
      </c>
      <c r="AR832" t="s">
        <v>72</v>
      </c>
      <c r="AS832">
        <v>292</v>
      </c>
      <c r="AT832" s="4">
        <v>42772</v>
      </c>
      <c r="AU832" t="s">
        <v>73</v>
      </c>
      <c r="AV832">
        <v>292</v>
      </c>
      <c r="AW832" s="4">
        <v>42772</v>
      </c>
      <c r="BB832">
        <v>82.5</v>
      </c>
      <c r="BD832">
        <v>0</v>
      </c>
      <c r="BN832" t="s">
        <v>74</v>
      </c>
    </row>
    <row r="833" spans="1:66" hidden="1">
      <c r="A833">
        <v>101046</v>
      </c>
      <c r="B833" t="s">
        <v>231</v>
      </c>
      <c r="C833" s="1">
        <v>43500101</v>
      </c>
      <c r="D833" t="s">
        <v>98</v>
      </c>
      <c r="H833" t="str">
        <f t="shared" ref="H833:I835" si="109">"01546900703"</f>
        <v>01546900703</v>
      </c>
      <c r="I833" t="str">
        <f t="shared" si="109"/>
        <v>01546900703</v>
      </c>
      <c r="K833" t="str">
        <f>""</f>
        <v/>
      </c>
      <c r="M833" t="s">
        <v>68</v>
      </c>
      <c r="N833" t="str">
        <f>"ALT"</f>
        <v>ALT</v>
      </c>
      <c r="O833" t="s">
        <v>99</v>
      </c>
      <c r="P833" t="s">
        <v>82</v>
      </c>
      <c r="Q833">
        <v>2017</v>
      </c>
      <c r="R833" s="4">
        <v>42755</v>
      </c>
      <c r="S833" s="2">
        <v>42755</v>
      </c>
      <c r="T833" s="2">
        <v>42755</v>
      </c>
      <c r="U833" s="4">
        <v>42815</v>
      </c>
      <c r="V833" t="s">
        <v>71</v>
      </c>
      <c r="W833" t="str">
        <f>"                0120"</f>
        <v xml:space="preserve">                0120</v>
      </c>
      <c r="X833">
        <v>0</v>
      </c>
      <c r="Y833">
        <v>138.19999999999999</v>
      </c>
      <c r="Z833" s="3">
        <v>138.19999999999999</v>
      </c>
      <c r="AA833" s="3">
        <v>-57</v>
      </c>
      <c r="AB833" s="5">
        <v>-7877.4</v>
      </c>
      <c r="AC833">
        <v>138.19999999999999</v>
      </c>
      <c r="AD833">
        <v>-57</v>
      </c>
      <c r="AE833" s="1">
        <v>-7877.4</v>
      </c>
      <c r="AF833">
        <v>0</v>
      </c>
      <c r="AJ833">
        <v>138.19999999999999</v>
      </c>
      <c r="AK833">
        <v>138.19999999999999</v>
      </c>
      <c r="AL833">
        <v>138.19999999999999</v>
      </c>
      <c r="AM833">
        <v>138.19999999999999</v>
      </c>
      <c r="AN833">
        <v>138.19999999999999</v>
      </c>
      <c r="AO833">
        <v>138.19999999999999</v>
      </c>
      <c r="AP833" s="2">
        <v>42831</v>
      </c>
      <c r="AQ833" t="s">
        <v>72</v>
      </c>
      <c r="AR833" t="s">
        <v>72</v>
      </c>
      <c r="AS833">
        <v>99</v>
      </c>
      <c r="AT833" s="4">
        <v>42758</v>
      </c>
      <c r="AV833">
        <v>99</v>
      </c>
      <c r="AW833" s="4">
        <v>42758</v>
      </c>
      <c r="BD833">
        <v>0</v>
      </c>
      <c r="BN833" t="s">
        <v>74</v>
      </c>
    </row>
    <row r="834" spans="1:66" hidden="1">
      <c r="A834">
        <v>101046</v>
      </c>
      <c r="B834" t="s">
        <v>231</v>
      </c>
      <c r="C834" s="1">
        <v>43500101</v>
      </c>
      <c r="D834" t="s">
        <v>98</v>
      </c>
      <c r="H834" t="str">
        <f t="shared" si="109"/>
        <v>01546900703</v>
      </c>
      <c r="I834" t="str">
        <f t="shared" si="109"/>
        <v>01546900703</v>
      </c>
      <c r="K834" t="str">
        <f>""</f>
        <v/>
      </c>
      <c r="M834" t="s">
        <v>68</v>
      </c>
      <c r="N834" t="str">
        <f>"ALT"</f>
        <v>ALT</v>
      </c>
      <c r="O834" t="s">
        <v>99</v>
      </c>
      <c r="P834" t="s">
        <v>83</v>
      </c>
      <c r="Q834">
        <v>2017</v>
      </c>
      <c r="R834" s="4">
        <v>42786</v>
      </c>
      <c r="S834" s="2">
        <v>42787</v>
      </c>
      <c r="T834" s="2">
        <v>42787</v>
      </c>
      <c r="U834" s="4">
        <v>42847</v>
      </c>
      <c r="V834" t="s">
        <v>71</v>
      </c>
      <c r="W834" t="str">
        <f>"                0220"</f>
        <v xml:space="preserve">                0220</v>
      </c>
      <c r="X834">
        <v>0</v>
      </c>
      <c r="Y834">
        <v>138.19999999999999</v>
      </c>
      <c r="Z834" s="3">
        <v>138.19999999999999</v>
      </c>
      <c r="AA834" s="3">
        <v>-60</v>
      </c>
      <c r="AB834" s="5">
        <v>-8292</v>
      </c>
      <c r="AC834">
        <v>138.19999999999999</v>
      </c>
      <c r="AD834">
        <v>-60</v>
      </c>
      <c r="AE834" s="1">
        <v>-8292</v>
      </c>
      <c r="AF834">
        <v>0</v>
      </c>
      <c r="AJ834">
        <v>138.19999999999999</v>
      </c>
      <c r="AK834">
        <v>138.19999999999999</v>
      </c>
      <c r="AL834">
        <v>138.19999999999999</v>
      </c>
      <c r="AM834">
        <v>138.19999999999999</v>
      </c>
      <c r="AN834">
        <v>138.19999999999999</v>
      </c>
      <c r="AO834">
        <v>138.19999999999999</v>
      </c>
      <c r="AP834" s="2">
        <v>42831</v>
      </c>
      <c r="AQ834" t="s">
        <v>72</v>
      </c>
      <c r="AR834" t="s">
        <v>72</v>
      </c>
      <c r="AS834">
        <v>579</v>
      </c>
      <c r="AT834" s="4">
        <v>42787</v>
      </c>
      <c r="AV834">
        <v>579</v>
      </c>
      <c r="AW834" s="4">
        <v>42787</v>
      </c>
      <c r="BD834">
        <v>0</v>
      </c>
      <c r="BN834" t="s">
        <v>74</v>
      </c>
    </row>
    <row r="835" spans="1:66" hidden="1">
      <c r="A835">
        <v>101046</v>
      </c>
      <c r="B835" t="s">
        <v>231</v>
      </c>
      <c r="C835" s="1">
        <v>43500101</v>
      </c>
      <c r="D835" t="s">
        <v>98</v>
      </c>
      <c r="H835" t="str">
        <f t="shared" si="109"/>
        <v>01546900703</v>
      </c>
      <c r="I835" t="str">
        <f t="shared" si="109"/>
        <v>01546900703</v>
      </c>
      <c r="K835" t="str">
        <f>""</f>
        <v/>
      </c>
      <c r="M835" t="s">
        <v>68</v>
      </c>
      <c r="N835" t="str">
        <f>"ALT"</f>
        <v>ALT</v>
      </c>
      <c r="O835" t="s">
        <v>99</v>
      </c>
      <c r="P835" t="s">
        <v>84</v>
      </c>
      <c r="Q835">
        <v>2017</v>
      </c>
      <c r="R835" s="4">
        <v>42815</v>
      </c>
      <c r="S835" s="2">
        <v>42815</v>
      </c>
      <c r="T835" s="2">
        <v>42815</v>
      </c>
      <c r="U835" s="4">
        <v>42875</v>
      </c>
      <c r="V835" t="s">
        <v>71</v>
      </c>
      <c r="W835" t="str">
        <f>"                0321"</f>
        <v xml:space="preserve">                0321</v>
      </c>
      <c r="X835">
        <v>0</v>
      </c>
      <c r="Y835">
        <v>138.19999999999999</v>
      </c>
      <c r="Z835" s="3">
        <v>138.19999999999999</v>
      </c>
      <c r="AA835" s="3">
        <v>-60</v>
      </c>
      <c r="AB835" s="5">
        <v>-8292</v>
      </c>
      <c r="AC835">
        <v>138.19999999999999</v>
      </c>
      <c r="AD835">
        <v>-60</v>
      </c>
      <c r="AE835" s="1">
        <v>-8292</v>
      </c>
      <c r="AF835">
        <v>0</v>
      </c>
      <c r="AJ835">
        <v>138.19999999999999</v>
      </c>
      <c r="AK835">
        <v>138.19999999999999</v>
      </c>
      <c r="AL835">
        <v>138.19999999999999</v>
      </c>
      <c r="AM835">
        <v>138.19999999999999</v>
      </c>
      <c r="AN835">
        <v>138.19999999999999</v>
      </c>
      <c r="AO835">
        <v>138.19999999999999</v>
      </c>
      <c r="AP835" s="2">
        <v>42831</v>
      </c>
      <c r="AQ835" t="s">
        <v>72</v>
      </c>
      <c r="AR835" t="s">
        <v>72</v>
      </c>
      <c r="AS835">
        <v>877</v>
      </c>
      <c r="AT835" s="4">
        <v>42815</v>
      </c>
      <c r="AV835">
        <v>877</v>
      </c>
      <c r="AW835" s="4">
        <v>42815</v>
      </c>
      <c r="BD835">
        <v>0</v>
      </c>
      <c r="BN835" t="s">
        <v>74</v>
      </c>
    </row>
    <row r="836" spans="1:66">
      <c r="A836">
        <v>101058</v>
      </c>
      <c r="B836" t="s">
        <v>232</v>
      </c>
      <c r="C836" s="1">
        <v>43300101</v>
      </c>
      <c r="D836" t="s">
        <v>67</v>
      </c>
      <c r="H836" t="str">
        <f>"TTEGNN65H03L086E"</f>
        <v>TTEGNN65H03L086E</v>
      </c>
      <c r="I836" t="str">
        <f>"01100510625"</f>
        <v>01100510625</v>
      </c>
      <c r="K836" t="str">
        <f>""</f>
        <v/>
      </c>
      <c r="M836" t="s">
        <v>68</v>
      </c>
      <c r="N836" t="str">
        <f>"FOR"</f>
        <v>FOR</v>
      </c>
      <c r="O836" t="s">
        <v>69</v>
      </c>
      <c r="P836" t="s">
        <v>75</v>
      </c>
      <c r="Q836">
        <v>2016</v>
      </c>
      <c r="R836" s="4">
        <v>42632</v>
      </c>
      <c r="S836" s="2">
        <v>42633</v>
      </c>
      <c r="T836" s="2">
        <v>42633</v>
      </c>
      <c r="U836" s="4">
        <v>42693</v>
      </c>
      <c r="V836" t="s">
        <v>71</v>
      </c>
      <c r="W836" t="str">
        <f>"                 936"</f>
        <v xml:space="preserve">                 936</v>
      </c>
      <c r="X836" s="1">
        <v>1431.06</v>
      </c>
      <c r="Y836">
        <v>0</v>
      </c>
      <c r="Z836" s="5">
        <v>1173</v>
      </c>
      <c r="AA836" s="3">
        <v>79</v>
      </c>
      <c r="AB836" s="5">
        <v>92667</v>
      </c>
      <c r="AC836" s="1">
        <v>1173</v>
      </c>
      <c r="AD836">
        <v>79</v>
      </c>
      <c r="AE836" s="1">
        <v>92667</v>
      </c>
      <c r="AF836">
        <v>258.06</v>
      </c>
      <c r="AJ836">
        <v>0</v>
      </c>
      <c r="AK836">
        <v>0</v>
      </c>
      <c r="AL836">
        <v>0</v>
      </c>
      <c r="AM836">
        <v>0</v>
      </c>
      <c r="AN836">
        <v>0</v>
      </c>
      <c r="AO836">
        <v>0</v>
      </c>
      <c r="AP836" s="2">
        <v>42831</v>
      </c>
      <c r="AQ836" t="s">
        <v>72</v>
      </c>
      <c r="AR836" t="s">
        <v>72</v>
      </c>
      <c r="AS836">
        <v>292</v>
      </c>
      <c r="AT836" s="4">
        <v>42772</v>
      </c>
      <c r="AU836" t="s">
        <v>73</v>
      </c>
      <c r="AV836">
        <v>292</v>
      </c>
      <c r="AW836" s="4">
        <v>42772</v>
      </c>
      <c r="BB836">
        <v>258.06</v>
      </c>
      <c r="BD836">
        <v>0</v>
      </c>
      <c r="BN836" t="s">
        <v>74</v>
      </c>
    </row>
    <row r="837" spans="1:66">
      <c r="A837">
        <v>101064</v>
      </c>
      <c r="B837" t="s">
        <v>233</v>
      </c>
      <c r="C837" s="1">
        <v>43500101</v>
      </c>
      <c r="D837" t="s">
        <v>98</v>
      </c>
      <c r="H837" t="str">
        <f>"FCCGNN62A47A783A"</f>
        <v>FCCGNN62A47A783A</v>
      </c>
      <c r="I837" t="str">
        <f>"01172590620"</f>
        <v>01172590620</v>
      </c>
      <c r="K837" t="str">
        <f>""</f>
        <v/>
      </c>
      <c r="M837" t="s">
        <v>68</v>
      </c>
      <c r="N837" t="str">
        <f>"ALTPRO"</f>
        <v>ALTPRO</v>
      </c>
      <c r="O837" t="s">
        <v>116</v>
      </c>
      <c r="P837" t="s">
        <v>75</v>
      </c>
      <c r="Q837">
        <v>2016</v>
      </c>
      <c r="R837" s="4">
        <v>42709</v>
      </c>
      <c r="S837" s="2">
        <v>42709</v>
      </c>
      <c r="T837" s="2">
        <v>42709</v>
      </c>
      <c r="U837" s="4">
        <v>42769</v>
      </c>
      <c r="V837" t="s">
        <v>71</v>
      </c>
      <c r="W837" t="str">
        <f>"                   6"</f>
        <v xml:space="preserve">                   6</v>
      </c>
      <c r="X837" s="1">
        <v>5352.05</v>
      </c>
      <c r="Y837">
        <v>-843.64</v>
      </c>
      <c r="Z837" s="5">
        <v>4508.41</v>
      </c>
      <c r="AA837" s="3">
        <v>-4</v>
      </c>
      <c r="AB837" s="5">
        <v>-18033.64</v>
      </c>
      <c r="AC837" s="1">
        <v>4508.41</v>
      </c>
      <c r="AD837">
        <v>-4</v>
      </c>
      <c r="AE837" s="1">
        <v>-18033.64</v>
      </c>
      <c r="AF837">
        <v>0</v>
      </c>
      <c r="AJ837">
        <v>0</v>
      </c>
      <c r="AK837">
        <v>0</v>
      </c>
      <c r="AL837">
        <v>0</v>
      </c>
      <c r="AM837">
        <v>0</v>
      </c>
      <c r="AN837">
        <v>0</v>
      </c>
      <c r="AO837">
        <v>0</v>
      </c>
      <c r="AP837" s="2">
        <v>42831</v>
      </c>
      <c r="AQ837" t="s">
        <v>72</v>
      </c>
      <c r="AR837" t="s">
        <v>72</v>
      </c>
      <c r="AS837">
        <v>140</v>
      </c>
      <c r="AT837" s="4">
        <v>42765</v>
      </c>
      <c r="AV837">
        <v>140</v>
      </c>
      <c r="AW837" s="4">
        <v>42765</v>
      </c>
      <c r="BD837">
        <v>0</v>
      </c>
      <c r="BN837" t="s">
        <v>74</v>
      </c>
    </row>
    <row r="838" spans="1:66">
      <c r="A838">
        <v>101066</v>
      </c>
      <c r="B838" t="s">
        <v>234</v>
      </c>
      <c r="C838" s="1">
        <v>43300101</v>
      </c>
      <c r="D838" t="s">
        <v>67</v>
      </c>
      <c r="H838" t="str">
        <f>"13110270157"</f>
        <v>13110270157</v>
      </c>
      <c r="I838" t="str">
        <f>"13110270157"</f>
        <v>13110270157</v>
      </c>
      <c r="K838" t="str">
        <f>""</f>
        <v/>
      </c>
      <c r="M838" t="s">
        <v>68</v>
      </c>
      <c r="N838" t="str">
        <f t="shared" ref="N838:N869" si="110">"FOR"</f>
        <v>FOR</v>
      </c>
      <c r="O838" t="s">
        <v>69</v>
      </c>
      <c r="P838" t="s">
        <v>75</v>
      </c>
      <c r="Q838">
        <v>2016</v>
      </c>
      <c r="R838" s="4">
        <v>42569</v>
      </c>
      <c r="S838" s="2">
        <v>42577</v>
      </c>
      <c r="T838" s="2">
        <v>42572</v>
      </c>
      <c r="U838" s="4">
        <v>42632</v>
      </c>
      <c r="V838" t="s">
        <v>71</v>
      </c>
      <c r="W838" t="str">
        <f>"          0980172663"</f>
        <v xml:space="preserve">          0980172663</v>
      </c>
      <c r="X838" s="1">
        <v>2055.09</v>
      </c>
      <c r="Y838">
        <v>0</v>
      </c>
      <c r="Z838" s="5">
        <v>1684.5</v>
      </c>
      <c r="AA838" s="3">
        <v>136</v>
      </c>
      <c r="AB838" s="5">
        <v>229092</v>
      </c>
      <c r="AC838" s="1">
        <v>1684.5</v>
      </c>
      <c r="AD838">
        <v>136</v>
      </c>
      <c r="AE838" s="1">
        <v>229092</v>
      </c>
      <c r="AF838">
        <v>0</v>
      </c>
      <c r="AJ838">
        <v>0</v>
      </c>
      <c r="AK838">
        <v>0</v>
      </c>
      <c r="AL838">
        <v>0</v>
      </c>
      <c r="AM838">
        <v>0</v>
      </c>
      <c r="AN838">
        <v>0</v>
      </c>
      <c r="AO838">
        <v>0</v>
      </c>
      <c r="AP838" s="2">
        <v>42831</v>
      </c>
      <c r="AQ838" t="s">
        <v>72</v>
      </c>
      <c r="AR838" t="s">
        <v>72</v>
      </c>
      <c r="AS838">
        <v>263</v>
      </c>
      <c r="AT838" s="4">
        <v>42768</v>
      </c>
      <c r="AU838" t="s">
        <v>73</v>
      </c>
      <c r="AV838">
        <v>263</v>
      </c>
      <c r="AW838" s="4">
        <v>42768</v>
      </c>
      <c r="BD838">
        <v>0</v>
      </c>
      <c r="BN838" t="s">
        <v>74</v>
      </c>
    </row>
    <row r="839" spans="1:66">
      <c r="A839">
        <v>101066</v>
      </c>
      <c r="B839" t="s">
        <v>234</v>
      </c>
      <c r="C839" s="1">
        <v>43300101</v>
      </c>
      <c r="D839" t="s">
        <v>67</v>
      </c>
      <c r="H839" t="str">
        <f>"13110270157"</f>
        <v>13110270157</v>
      </c>
      <c r="I839" t="str">
        <f>"13110270157"</f>
        <v>13110270157</v>
      </c>
      <c r="K839" t="str">
        <f>""</f>
        <v/>
      </c>
      <c r="M839" t="s">
        <v>68</v>
      </c>
      <c r="N839" t="str">
        <f t="shared" si="110"/>
        <v>FOR</v>
      </c>
      <c r="O839" t="s">
        <v>69</v>
      </c>
      <c r="P839" t="s">
        <v>75</v>
      </c>
      <c r="Q839">
        <v>2016</v>
      </c>
      <c r="R839" s="4">
        <v>42572</v>
      </c>
      <c r="S839" s="2">
        <v>42577</v>
      </c>
      <c r="T839" s="2">
        <v>42573</v>
      </c>
      <c r="U839" s="4">
        <v>42633</v>
      </c>
      <c r="V839" t="s">
        <v>71</v>
      </c>
      <c r="W839" t="str">
        <f>"          0980172914"</f>
        <v xml:space="preserve">          0980172914</v>
      </c>
      <c r="X839" s="1">
        <v>1883.07</v>
      </c>
      <c r="Y839">
        <v>0</v>
      </c>
      <c r="Z839" s="5">
        <v>1543.5</v>
      </c>
      <c r="AA839" s="3">
        <v>135</v>
      </c>
      <c r="AB839" s="5">
        <v>208372.5</v>
      </c>
      <c r="AC839" s="1">
        <v>1543.5</v>
      </c>
      <c r="AD839">
        <v>135</v>
      </c>
      <c r="AE839" s="1">
        <v>208372.5</v>
      </c>
      <c r="AF839">
        <v>0</v>
      </c>
      <c r="AJ839">
        <v>0</v>
      </c>
      <c r="AK839">
        <v>0</v>
      </c>
      <c r="AL839">
        <v>0</v>
      </c>
      <c r="AM839">
        <v>0</v>
      </c>
      <c r="AN839">
        <v>0</v>
      </c>
      <c r="AO839">
        <v>0</v>
      </c>
      <c r="AP839" s="2">
        <v>42831</v>
      </c>
      <c r="AQ839" t="s">
        <v>72</v>
      </c>
      <c r="AR839" t="s">
        <v>72</v>
      </c>
      <c r="AS839">
        <v>263</v>
      </c>
      <c r="AT839" s="4">
        <v>42768</v>
      </c>
      <c r="AU839" t="s">
        <v>73</v>
      </c>
      <c r="AV839">
        <v>263</v>
      </c>
      <c r="AW839" s="4">
        <v>42768</v>
      </c>
      <c r="BD839">
        <v>0</v>
      </c>
      <c r="BN839" t="s">
        <v>74</v>
      </c>
    </row>
    <row r="840" spans="1:66">
      <c r="A840">
        <v>101074</v>
      </c>
      <c r="B840" t="s">
        <v>235</v>
      </c>
      <c r="C840" s="1">
        <v>43300101</v>
      </c>
      <c r="D840" t="s">
        <v>67</v>
      </c>
      <c r="H840" t="str">
        <f>"01313240424"</f>
        <v>01313240424</v>
      </c>
      <c r="I840" t="str">
        <f>"01313240424"</f>
        <v>01313240424</v>
      </c>
      <c r="K840" t="str">
        <f>""</f>
        <v/>
      </c>
      <c r="M840" t="s">
        <v>68</v>
      </c>
      <c r="N840" t="str">
        <f t="shared" si="110"/>
        <v>FOR</v>
      </c>
      <c r="O840" t="s">
        <v>69</v>
      </c>
      <c r="P840" t="s">
        <v>75</v>
      </c>
      <c r="Q840">
        <v>2016</v>
      </c>
      <c r="R840" s="4">
        <v>42439</v>
      </c>
      <c r="S840" s="2">
        <v>42472</v>
      </c>
      <c r="T840" s="2">
        <v>42464</v>
      </c>
      <c r="U840" s="4">
        <v>42524</v>
      </c>
      <c r="V840" t="s">
        <v>71</v>
      </c>
      <c r="W840" t="str">
        <f>"             1651/PA"</f>
        <v xml:space="preserve">             1651/PA</v>
      </c>
      <c r="X840">
        <v>732</v>
      </c>
      <c r="Y840">
        <v>0</v>
      </c>
      <c r="Z840" s="5">
        <v>600</v>
      </c>
      <c r="AA840" s="3">
        <v>244</v>
      </c>
      <c r="AB840" s="5">
        <v>146400</v>
      </c>
      <c r="AC840">
        <v>600</v>
      </c>
      <c r="AD840">
        <v>244</v>
      </c>
      <c r="AE840" s="1">
        <v>146400</v>
      </c>
      <c r="AF840">
        <v>0</v>
      </c>
      <c r="AJ840">
        <v>0</v>
      </c>
      <c r="AK840">
        <v>0</v>
      </c>
      <c r="AL840">
        <v>0</v>
      </c>
      <c r="AM840">
        <v>0</v>
      </c>
      <c r="AN840">
        <v>0</v>
      </c>
      <c r="AO840">
        <v>0</v>
      </c>
      <c r="AP840" s="2">
        <v>42831</v>
      </c>
      <c r="AQ840" t="s">
        <v>72</v>
      </c>
      <c r="AR840" t="s">
        <v>72</v>
      </c>
      <c r="AS840">
        <v>201</v>
      </c>
      <c r="AT840" s="4">
        <v>42768</v>
      </c>
      <c r="AU840" t="s">
        <v>73</v>
      </c>
      <c r="AV840">
        <v>201</v>
      </c>
      <c r="AW840" s="4">
        <v>42768</v>
      </c>
      <c r="BD840">
        <v>0</v>
      </c>
      <c r="BN840" t="s">
        <v>74</v>
      </c>
    </row>
    <row r="841" spans="1:66">
      <c r="A841">
        <v>101077</v>
      </c>
      <c r="B841" t="s">
        <v>236</v>
      </c>
      <c r="C841" s="1">
        <v>43300101</v>
      </c>
      <c r="D841" t="s">
        <v>67</v>
      </c>
      <c r="H841" t="str">
        <f>"01396940627"</f>
        <v>01396940627</v>
      </c>
      <c r="I841" t="str">
        <f>"01396940627"</f>
        <v>01396940627</v>
      </c>
      <c r="K841" t="str">
        <f>""</f>
        <v/>
      </c>
      <c r="M841" t="s">
        <v>68</v>
      </c>
      <c r="N841" t="str">
        <f t="shared" si="110"/>
        <v>FOR</v>
      </c>
      <c r="O841" t="s">
        <v>69</v>
      </c>
      <c r="P841" t="s">
        <v>75</v>
      </c>
      <c r="Q841">
        <v>2016</v>
      </c>
      <c r="R841" s="4">
        <v>42713</v>
      </c>
      <c r="S841" s="2">
        <v>42723</v>
      </c>
      <c r="T841" s="2">
        <v>42720</v>
      </c>
      <c r="U841" s="4">
        <v>42780</v>
      </c>
      <c r="V841" t="s">
        <v>71</v>
      </c>
      <c r="W841" t="str">
        <f>"               24/PA"</f>
        <v xml:space="preserve">               24/PA</v>
      </c>
      <c r="X841" s="1">
        <v>9272</v>
      </c>
      <c r="Y841">
        <v>0</v>
      </c>
      <c r="Z841" s="5">
        <v>7600</v>
      </c>
      <c r="AA841" s="3">
        <v>24</v>
      </c>
      <c r="AB841" s="5">
        <v>182400</v>
      </c>
      <c r="AC841" s="1">
        <v>7600</v>
      </c>
      <c r="AD841">
        <v>24</v>
      </c>
      <c r="AE841" s="1">
        <v>182400</v>
      </c>
      <c r="AF841" s="1">
        <v>1672</v>
      </c>
      <c r="AJ841">
        <v>0</v>
      </c>
      <c r="AK841">
        <v>0</v>
      </c>
      <c r="AL841">
        <v>0</v>
      </c>
      <c r="AM841">
        <v>0</v>
      </c>
      <c r="AN841">
        <v>0</v>
      </c>
      <c r="AO841">
        <v>0</v>
      </c>
      <c r="AP841" s="2">
        <v>42831</v>
      </c>
      <c r="AQ841" t="s">
        <v>72</v>
      </c>
      <c r="AR841" t="s">
        <v>72</v>
      </c>
      <c r="AS841">
        <v>754</v>
      </c>
      <c r="AT841" s="4">
        <v>42804</v>
      </c>
      <c r="AU841" t="s">
        <v>73</v>
      </c>
      <c r="AV841">
        <v>754</v>
      </c>
      <c r="AW841" s="4">
        <v>42804</v>
      </c>
      <c r="AY841" s="1">
        <v>1672</v>
      </c>
      <c r="BD841">
        <v>0</v>
      </c>
      <c r="BN841" t="s">
        <v>74</v>
      </c>
    </row>
    <row r="842" spans="1:66">
      <c r="A842">
        <v>101077</v>
      </c>
      <c r="B842" t="s">
        <v>236</v>
      </c>
      <c r="C842" s="1">
        <v>43300101</v>
      </c>
      <c r="D842" t="s">
        <v>67</v>
      </c>
      <c r="H842" t="str">
        <f>"01396940627"</f>
        <v>01396940627</v>
      </c>
      <c r="I842" t="str">
        <f>"01396940627"</f>
        <v>01396940627</v>
      </c>
      <c r="K842" t="str">
        <f>""</f>
        <v/>
      </c>
      <c r="M842" t="s">
        <v>68</v>
      </c>
      <c r="N842" t="str">
        <f t="shared" si="110"/>
        <v>FOR</v>
      </c>
      <c r="O842" t="s">
        <v>69</v>
      </c>
      <c r="P842" t="s">
        <v>75</v>
      </c>
      <c r="Q842">
        <v>2016</v>
      </c>
      <c r="R842" s="4">
        <v>42713</v>
      </c>
      <c r="S842" s="2">
        <v>42723</v>
      </c>
      <c r="T842" s="2">
        <v>42720</v>
      </c>
      <c r="U842" s="4">
        <v>42780</v>
      </c>
      <c r="V842" t="s">
        <v>71</v>
      </c>
      <c r="W842" t="str">
        <f>"               25/PA"</f>
        <v xml:space="preserve">               25/PA</v>
      </c>
      <c r="X842" s="1">
        <v>9272</v>
      </c>
      <c r="Y842">
        <v>0</v>
      </c>
      <c r="Z842" s="5">
        <v>7600</v>
      </c>
      <c r="AA842" s="3">
        <v>38</v>
      </c>
      <c r="AB842" s="5">
        <v>288800</v>
      </c>
      <c r="AC842" s="1">
        <v>7600</v>
      </c>
      <c r="AD842">
        <v>38</v>
      </c>
      <c r="AE842" s="1">
        <v>288800</v>
      </c>
      <c r="AF842" s="1">
        <v>1672</v>
      </c>
      <c r="AJ842">
        <v>0</v>
      </c>
      <c r="AK842">
        <v>0</v>
      </c>
      <c r="AL842">
        <v>0</v>
      </c>
      <c r="AM842">
        <v>0</v>
      </c>
      <c r="AN842">
        <v>0</v>
      </c>
      <c r="AO842">
        <v>0</v>
      </c>
      <c r="AP842" s="2">
        <v>42831</v>
      </c>
      <c r="AQ842" t="s">
        <v>72</v>
      </c>
      <c r="AR842" t="s">
        <v>72</v>
      </c>
      <c r="AS842">
        <v>893</v>
      </c>
      <c r="AT842" s="4">
        <v>42818</v>
      </c>
      <c r="AU842" t="s">
        <v>73</v>
      </c>
      <c r="AV842">
        <v>893</v>
      </c>
      <c r="AW842" s="4">
        <v>42818</v>
      </c>
      <c r="AY842" s="1">
        <v>1672</v>
      </c>
      <c r="BD842">
        <v>0</v>
      </c>
      <c r="BN842" t="s">
        <v>74</v>
      </c>
    </row>
    <row r="843" spans="1:66">
      <c r="A843">
        <v>101096</v>
      </c>
      <c r="B843" t="s">
        <v>237</v>
      </c>
      <c r="C843" s="1">
        <v>43300101</v>
      </c>
      <c r="D843" t="s">
        <v>67</v>
      </c>
      <c r="H843" t="str">
        <f t="shared" ref="H843:I847" si="111">"04832360632"</f>
        <v>04832360632</v>
      </c>
      <c r="I843" t="str">
        <f t="shared" si="111"/>
        <v>04832360632</v>
      </c>
      <c r="K843" t="str">
        <f>""</f>
        <v/>
      </c>
      <c r="M843" t="s">
        <v>68</v>
      </c>
      <c r="N843" t="str">
        <f t="shared" si="110"/>
        <v>FOR</v>
      </c>
      <c r="O843" t="s">
        <v>69</v>
      </c>
      <c r="P843" t="s">
        <v>75</v>
      </c>
      <c r="Q843">
        <v>2016</v>
      </c>
      <c r="R843" s="4">
        <v>42521</v>
      </c>
      <c r="S843" s="2">
        <v>42527</v>
      </c>
      <c r="T843" s="2">
        <v>42521</v>
      </c>
      <c r="U843" s="4">
        <v>42581</v>
      </c>
      <c r="V843" t="s">
        <v>71</v>
      </c>
      <c r="W843" t="str">
        <f>"             2016/77"</f>
        <v xml:space="preserve">             2016/77</v>
      </c>
      <c r="X843">
        <v>947.94</v>
      </c>
      <c r="Y843">
        <v>0</v>
      </c>
      <c r="Z843" s="5">
        <v>777</v>
      </c>
      <c r="AA843" s="3">
        <v>191</v>
      </c>
      <c r="AB843" s="5">
        <v>148407</v>
      </c>
      <c r="AC843">
        <v>777</v>
      </c>
      <c r="AD843">
        <v>191</v>
      </c>
      <c r="AE843" s="1">
        <v>148407</v>
      </c>
      <c r="AF843">
        <v>170.94</v>
      </c>
      <c r="AJ843">
        <v>0</v>
      </c>
      <c r="AK843">
        <v>0</v>
      </c>
      <c r="AL843">
        <v>0</v>
      </c>
      <c r="AM843">
        <v>0</v>
      </c>
      <c r="AN843">
        <v>0</v>
      </c>
      <c r="AO843">
        <v>0</v>
      </c>
      <c r="AP843" s="2">
        <v>42831</v>
      </c>
      <c r="AQ843" t="s">
        <v>72</v>
      </c>
      <c r="AR843" t="s">
        <v>72</v>
      </c>
      <c r="AS843">
        <v>292</v>
      </c>
      <c r="AT843" s="4">
        <v>42772</v>
      </c>
      <c r="AU843" t="s">
        <v>73</v>
      </c>
      <c r="AV843">
        <v>292</v>
      </c>
      <c r="AW843" s="4">
        <v>42772</v>
      </c>
      <c r="BD843">
        <v>170.94</v>
      </c>
      <c r="BN843" t="s">
        <v>74</v>
      </c>
    </row>
    <row r="844" spans="1:66">
      <c r="A844">
        <v>101096</v>
      </c>
      <c r="B844" t="s">
        <v>237</v>
      </c>
      <c r="C844" s="1">
        <v>43300101</v>
      </c>
      <c r="D844" t="s">
        <v>67</v>
      </c>
      <c r="H844" t="str">
        <f t="shared" si="111"/>
        <v>04832360632</v>
      </c>
      <c r="I844" t="str">
        <f t="shared" si="111"/>
        <v>04832360632</v>
      </c>
      <c r="K844" t="str">
        <f>""</f>
        <v/>
      </c>
      <c r="M844" t="s">
        <v>68</v>
      </c>
      <c r="N844" t="str">
        <f t="shared" si="110"/>
        <v>FOR</v>
      </c>
      <c r="O844" t="s">
        <v>69</v>
      </c>
      <c r="P844" t="s">
        <v>75</v>
      </c>
      <c r="Q844">
        <v>2016</v>
      </c>
      <c r="R844" s="4">
        <v>42677</v>
      </c>
      <c r="S844" s="2">
        <v>42682</v>
      </c>
      <c r="T844" s="2">
        <v>42682</v>
      </c>
      <c r="U844" s="4">
        <v>42742</v>
      </c>
      <c r="V844" t="s">
        <v>71</v>
      </c>
      <c r="W844" t="str">
        <f>"            2016/139"</f>
        <v xml:space="preserve">            2016/139</v>
      </c>
      <c r="X844" s="1">
        <v>3703.92</v>
      </c>
      <c r="Y844">
        <v>0</v>
      </c>
      <c r="Z844" s="5">
        <v>3036</v>
      </c>
      <c r="AA844" s="3">
        <v>37</v>
      </c>
      <c r="AB844" s="5">
        <v>112332</v>
      </c>
      <c r="AC844" s="1">
        <v>3036</v>
      </c>
      <c r="AD844">
        <v>37</v>
      </c>
      <c r="AE844" s="1">
        <v>112332</v>
      </c>
      <c r="AF844">
        <v>0</v>
      </c>
      <c r="AJ844">
        <v>0</v>
      </c>
      <c r="AK844">
        <v>0</v>
      </c>
      <c r="AL844">
        <v>0</v>
      </c>
      <c r="AM844">
        <v>0</v>
      </c>
      <c r="AN844">
        <v>0</v>
      </c>
      <c r="AO844">
        <v>0</v>
      </c>
      <c r="AP844" s="2">
        <v>42831</v>
      </c>
      <c r="AQ844" t="s">
        <v>72</v>
      </c>
      <c r="AR844" t="s">
        <v>72</v>
      </c>
      <c r="AS844">
        <v>411</v>
      </c>
      <c r="AT844" s="4">
        <v>42779</v>
      </c>
      <c r="AU844" t="s">
        <v>73</v>
      </c>
      <c r="AV844">
        <v>411</v>
      </c>
      <c r="AW844" s="4">
        <v>42779</v>
      </c>
      <c r="BD844">
        <v>0</v>
      </c>
      <c r="BN844" t="s">
        <v>74</v>
      </c>
    </row>
    <row r="845" spans="1:66">
      <c r="A845">
        <v>101096</v>
      </c>
      <c r="B845" t="s">
        <v>237</v>
      </c>
      <c r="C845" s="1">
        <v>43300101</v>
      </c>
      <c r="D845" t="s">
        <v>67</v>
      </c>
      <c r="H845" t="str">
        <f t="shared" si="111"/>
        <v>04832360632</v>
      </c>
      <c r="I845" t="str">
        <f t="shared" si="111"/>
        <v>04832360632</v>
      </c>
      <c r="K845" t="str">
        <f>""</f>
        <v/>
      </c>
      <c r="M845" t="s">
        <v>68</v>
      </c>
      <c r="N845" t="str">
        <f t="shared" si="110"/>
        <v>FOR</v>
      </c>
      <c r="O845" t="s">
        <v>69</v>
      </c>
      <c r="P845" t="s">
        <v>75</v>
      </c>
      <c r="Q845">
        <v>2016</v>
      </c>
      <c r="R845" s="4">
        <v>42713</v>
      </c>
      <c r="S845" s="2">
        <v>42718</v>
      </c>
      <c r="T845" s="2">
        <v>42718</v>
      </c>
      <c r="U845" s="4">
        <v>42778</v>
      </c>
      <c r="V845" t="s">
        <v>71</v>
      </c>
      <c r="W845" t="str">
        <f>"            2016/152"</f>
        <v xml:space="preserve">            2016/152</v>
      </c>
      <c r="X845">
        <v>542.9</v>
      </c>
      <c r="Y845">
        <v>0</v>
      </c>
      <c r="Z845" s="5">
        <v>445</v>
      </c>
      <c r="AA845" s="3">
        <v>1</v>
      </c>
      <c r="AB845" s="3">
        <v>445</v>
      </c>
      <c r="AC845">
        <v>445</v>
      </c>
      <c r="AD845">
        <v>1</v>
      </c>
      <c r="AE845">
        <v>445</v>
      </c>
      <c r="AF845">
        <v>0</v>
      </c>
      <c r="AJ845">
        <v>0</v>
      </c>
      <c r="AK845">
        <v>0</v>
      </c>
      <c r="AL845">
        <v>0</v>
      </c>
      <c r="AM845">
        <v>0</v>
      </c>
      <c r="AN845">
        <v>0</v>
      </c>
      <c r="AO845">
        <v>0</v>
      </c>
      <c r="AP845" s="2">
        <v>42831</v>
      </c>
      <c r="AQ845" t="s">
        <v>72</v>
      </c>
      <c r="AR845" t="s">
        <v>72</v>
      </c>
      <c r="AS845">
        <v>411</v>
      </c>
      <c r="AT845" s="4">
        <v>42779</v>
      </c>
      <c r="AU845" t="s">
        <v>73</v>
      </c>
      <c r="AV845">
        <v>411</v>
      </c>
      <c r="AW845" s="4">
        <v>42779</v>
      </c>
      <c r="BD845">
        <v>0</v>
      </c>
      <c r="BN845" t="s">
        <v>74</v>
      </c>
    </row>
    <row r="846" spans="1:66">
      <c r="A846">
        <v>101096</v>
      </c>
      <c r="B846" t="s">
        <v>237</v>
      </c>
      <c r="C846" s="1">
        <v>43300101</v>
      </c>
      <c r="D846" t="s">
        <v>67</v>
      </c>
      <c r="H846" t="str">
        <f t="shared" si="111"/>
        <v>04832360632</v>
      </c>
      <c r="I846" t="str">
        <f t="shared" si="111"/>
        <v>04832360632</v>
      </c>
      <c r="K846" t="str">
        <f>""</f>
        <v/>
      </c>
      <c r="M846" t="s">
        <v>68</v>
      </c>
      <c r="N846" t="str">
        <f t="shared" si="110"/>
        <v>FOR</v>
      </c>
      <c r="O846" t="s">
        <v>69</v>
      </c>
      <c r="P846" t="s">
        <v>75</v>
      </c>
      <c r="Q846">
        <v>2016</v>
      </c>
      <c r="R846" s="4">
        <v>42726</v>
      </c>
      <c r="S846" s="2">
        <v>42727</v>
      </c>
      <c r="T846" s="2">
        <v>42726</v>
      </c>
      <c r="U846" s="4">
        <v>42786</v>
      </c>
      <c r="V846" t="s">
        <v>71</v>
      </c>
      <c r="W846" t="str">
        <f>"            2016/160"</f>
        <v xml:space="preserve">            2016/160</v>
      </c>
      <c r="X846" s="1">
        <v>4997.12</v>
      </c>
      <c r="Y846">
        <v>0</v>
      </c>
      <c r="Z846" s="5">
        <v>4096</v>
      </c>
      <c r="AA846" s="3">
        <v>-7</v>
      </c>
      <c r="AB846" s="5">
        <v>-28672</v>
      </c>
      <c r="AC846" s="1">
        <v>4096</v>
      </c>
      <c r="AD846">
        <v>-7</v>
      </c>
      <c r="AE846" s="1">
        <v>-28672</v>
      </c>
      <c r="AF846">
        <v>0</v>
      </c>
      <c r="AJ846">
        <v>0</v>
      </c>
      <c r="AK846">
        <v>0</v>
      </c>
      <c r="AL846">
        <v>0</v>
      </c>
      <c r="AM846">
        <v>0</v>
      </c>
      <c r="AN846">
        <v>0</v>
      </c>
      <c r="AO846">
        <v>0</v>
      </c>
      <c r="AP846" s="2">
        <v>42831</v>
      </c>
      <c r="AQ846" t="s">
        <v>72</v>
      </c>
      <c r="AR846" t="s">
        <v>72</v>
      </c>
      <c r="AS846">
        <v>411</v>
      </c>
      <c r="AT846" s="4">
        <v>42779</v>
      </c>
      <c r="AV846">
        <v>411</v>
      </c>
      <c r="AW846" s="4">
        <v>42779</v>
      </c>
      <c r="BD846">
        <v>0</v>
      </c>
      <c r="BN846" t="s">
        <v>74</v>
      </c>
    </row>
    <row r="847" spans="1:66">
      <c r="A847">
        <v>101096</v>
      </c>
      <c r="B847" t="s">
        <v>237</v>
      </c>
      <c r="C847" s="1">
        <v>43300101</v>
      </c>
      <c r="D847" t="s">
        <v>67</v>
      </c>
      <c r="H847" t="str">
        <f t="shared" si="111"/>
        <v>04832360632</v>
      </c>
      <c r="I847" t="str">
        <f t="shared" si="111"/>
        <v>04832360632</v>
      </c>
      <c r="K847" t="str">
        <f>""</f>
        <v/>
      </c>
      <c r="M847" t="s">
        <v>68</v>
      </c>
      <c r="N847" t="str">
        <f t="shared" si="110"/>
        <v>FOR</v>
      </c>
      <c r="O847" t="s">
        <v>69</v>
      </c>
      <c r="P847" t="s">
        <v>75</v>
      </c>
      <c r="Q847">
        <v>2016</v>
      </c>
      <c r="R847" s="4">
        <v>42726</v>
      </c>
      <c r="S847" s="2">
        <v>42727</v>
      </c>
      <c r="T847" s="2">
        <v>42726</v>
      </c>
      <c r="U847" s="4">
        <v>42786</v>
      </c>
      <c r="V847" t="s">
        <v>71</v>
      </c>
      <c r="W847" t="str">
        <f>"            2016/161"</f>
        <v xml:space="preserve">            2016/161</v>
      </c>
      <c r="X847" s="1">
        <v>1645.78</v>
      </c>
      <c r="Y847">
        <v>0</v>
      </c>
      <c r="Z847" s="5">
        <v>1349</v>
      </c>
      <c r="AA847" s="3">
        <v>-7</v>
      </c>
      <c r="AB847" s="5">
        <v>-9443</v>
      </c>
      <c r="AC847" s="1">
        <v>1349</v>
      </c>
      <c r="AD847">
        <v>-7</v>
      </c>
      <c r="AE847" s="1">
        <v>-9443</v>
      </c>
      <c r="AF847">
        <v>0</v>
      </c>
      <c r="AJ847">
        <v>0</v>
      </c>
      <c r="AK847">
        <v>0</v>
      </c>
      <c r="AL847">
        <v>0</v>
      </c>
      <c r="AM847">
        <v>0</v>
      </c>
      <c r="AN847">
        <v>0</v>
      </c>
      <c r="AO847">
        <v>0</v>
      </c>
      <c r="AP847" s="2">
        <v>42831</v>
      </c>
      <c r="AQ847" t="s">
        <v>72</v>
      </c>
      <c r="AR847" t="s">
        <v>72</v>
      </c>
      <c r="AS847">
        <v>411</v>
      </c>
      <c r="AT847" s="4">
        <v>42779</v>
      </c>
      <c r="AV847">
        <v>411</v>
      </c>
      <c r="AW847" s="4">
        <v>42779</v>
      </c>
      <c r="BD847">
        <v>0</v>
      </c>
      <c r="BN847" t="s">
        <v>74</v>
      </c>
    </row>
    <row r="848" spans="1:66">
      <c r="A848">
        <v>101113</v>
      </c>
      <c r="B848" t="s">
        <v>238</v>
      </c>
      <c r="C848" s="1">
        <v>43300101</v>
      </c>
      <c r="D848" t="s">
        <v>67</v>
      </c>
      <c r="H848" t="str">
        <f>"04732240967"</f>
        <v>04732240967</v>
      </c>
      <c r="I848" t="str">
        <f>"04732240967"</f>
        <v>04732240967</v>
      </c>
      <c r="K848" t="str">
        <f>""</f>
        <v/>
      </c>
      <c r="M848" t="s">
        <v>68</v>
      </c>
      <c r="N848" t="str">
        <f t="shared" si="110"/>
        <v>FOR</v>
      </c>
      <c r="O848" t="s">
        <v>69</v>
      </c>
      <c r="P848" t="s">
        <v>75</v>
      </c>
      <c r="Q848">
        <v>2016</v>
      </c>
      <c r="R848" s="4">
        <v>42725</v>
      </c>
      <c r="S848" s="2">
        <v>42727</v>
      </c>
      <c r="T848" s="2">
        <v>42726</v>
      </c>
      <c r="U848" s="4">
        <v>42786</v>
      </c>
      <c r="V848" t="s">
        <v>71</v>
      </c>
      <c r="W848" t="str">
        <f>"          0087040583"</f>
        <v xml:space="preserve">          0087040583</v>
      </c>
      <c r="X848" s="1">
        <v>1092.03</v>
      </c>
      <c r="Y848">
        <v>0</v>
      </c>
      <c r="Z848" s="5">
        <v>992.75</v>
      </c>
      <c r="AA848" s="3">
        <v>-18</v>
      </c>
      <c r="AB848" s="5">
        <v>-17869.5</v>
      </c>
      <c r="AC848">
        <v>992.75</v>
      </c>
      <c r="AD848">
        <v>-18</v>
      </c>
      <c r="AE848" s="1">
        <v>-17869.5</v>
      </c>
      <c r="AF848">
        <v>0</v>
      </c>
      <c r="AJ848">
        <v>0</v>
      </c>
      <c r="AK848">
        <v>0</v>
      </c>
      <c r="AL848">
        <v>0</v>
      </c>
      <c r="AM848">
        <v>0</v>
      </c>
      <c r="AN848">
        <v>0</v>
      </c>
      <c r="AO848">
        <v>0</v>
      </c>
      <c r="AP848" s="2">
        <v>42831</v>
      </c>
      <c r="AQ848" t="s">
        <v>72</v>
      </c>
      <c r="AR848" t="s">
        <v>72</v>
      </c>
      <c r="AS848">
        <v>253</v>
      </c>
      <c r="AT848" s="4">
        <v>42768</v>
      </c>
      <c r="AV848">
        <v>253</v>
      </c>
      <c r="AW848" s="4">
        <v>42768</v>
      </c>
      <c r="BD848">
        <v>0</v>
      </c>
      <c r="BN848" t="s">
        <v>74</v>
      </c>
    </row>
    <row r="849" spans="1:66">
      <c r="A849">
        <v>101130</v>
      </c>
      <c r="B849" t="s">
        <v>239</v>
      </c>
      <c r="C849" s="1">
        <v>43300101</v>
      </c>
      <c r="D849" t="s">
        <v>67</v>
      </c>
      <c r="H849" t="str">
        <f t="shared" ref="H849:I868" si="112">"09238800156"</f>
        <v>09238800156</v>
      </c>
      <c r="I849" t="str">
        <f t="shared" si="112"/>
        <v>09238800156</v>
      </c>
      <c r="K849" t="str">
        <f>""</f>
        <v/>
      </c>
      <c r="M849" t="s">
        <v>68</v>
      </c>
      <c r="N849" t="str">
        <f t="shared" si="110"/>
        <v>FOR</v>
      </c>
      <c r="O849" t="s">
        <v>69</v>
      </c>
      <c r="P849" t="s">
        <v>75</v>
      </c>
      <c r="Q849">
        <v>2016</v>
      </c>
      <c r="R849" s="4">
        <v>42552</v>
      </c>
      <c r="S849" s="2">
        <v>42556</v>
      </c>
      <c r="T849" s="2">
        <v>42552</v>
      </c>
      <c r="U849" s="4">
        <v>42612</v>
      </c>
      <c r="V849" t="s">
        <v>71</v>
      </c>
      <c r="W849" t="str">
        <f>"          1023897140"</f>
        <v xml:space="preserve">          1023897140</v>
      </c>
      <c r="X849" s="1">
        <v>7808</v>
      </c>
      <c r="Y849">
        <v>0</v>
      </c>
      <c r="Z849" s="5">
        <v>6400</v>
      </c>
      <c r="AA849" s="3">
        <v>163</v>
      </c>
      <c r="AB849" s="5">
        <v>1043200</v>
      </c>
      <c r="AC849" s="1">
        <v>6400</v>
      </c>
      <c r="AD849">
        <v>163</v>
      </c>
      <c r="AE849" s="1">
        <v>1043200</v>
      </c>
      <c r="AF849">
        <v>0</v>
      </c>
      <c r="AJ849">
        <v>0</v>
      </c>
      <c r="AK849">
        <v>0</v>
      </c>
      <c r="AL849">
        <v>0</v>
      </c>
      <c r="AM849">
        <v>0</v>
      </c>
      <c r="AN849">
        <v>0</v>
      </c>
      <c r="AO849">
        <v>0</v>
      </c>
      <c r="AP849" s="2">
        <v>42831</v>
      </c>
      <c r="AQ849" t="s">
        <v>72</v>
      </c>
      <c r="AR849" t="s">
        <v>72</v>
      </c>
      <c r="AS849">
        <v>371</v>
      </c>
      <c r="AT849" s="4">
        <v>42775</v>
      </c>
      <c r="AU849" t="s">
        <v>73</v>
      </c>
      <c r="AV849">
        <v>371</v>
      </c>
      <c r="AW849" s="4">
        <v>42775</v>
      </c>
      <c r="BD849">
        <v>0</v>
      </c>
      <c r="BN849" t="s">
        <v>74</v>
      </c>
    </row>
    <row r="850" spans="1:66">
      <c r="A850">
        <v>101130</v>
      </c>
      <c r="B850" t="s">
        <v>239</v>
      </c>
      <c r="C850" s="1">
        <v>43300101</v>
      </c>
      <c r="D850" t="s">
        <v>67</v>
      </c>
      <c r="H850" t="str">
        <f t="shared" si="112"/>
        <v>09238800156</v>
      </c>
      <c r="I850" t="str">
        <f t="shared" si="112"/>
        <v>09238800156</v>
      </c>
      <c r="K850" t="str">
        <f>""</f>
        <v/>
      </c>
      <c r="M850" t="s">
        <v>68</v>
      </c>
      <c r="N850" t="str">
        <f t="shared" si="110"/>
        <v>FOR</v>
      </c>
      <c r="O850" t="s">
        <v>69</v>
      </c>
      <c r="P850" t="s">
        <v>75</v>
      </c>
      <c r="Q850">
        <v>2016</v>
      </c>
      <c r="R850" s="4">
        <v>42556</v>
      </c>
      <c r="S850" s="2">
        <v>42558</v>
      </c>
      <c r="T850" s="2">
        <v>42556</v>
      </c>
      <c r="U850" s="4">
        <v>42616</v>
      </c>
      <c r="V850" t="s">
        <v>71</v>
      </c>
      <c r="W850" t="str">
        <f>"          1023899169"</f>
        <v xml:space="preserve">          1023899169</v>
      </c>
      <c r="X850" s="1">
        <v>2723.04</v>
      </c>
      <c r="Y850">
        <v>0</v>
      </c>
      <c r="Z850" s="5">
        <v>2232</v>
      </c>
      <c r="AA850" s="3">
        <v>159</v>
      </c>
      <c r="AB850" s="5">
        <v>354888</v>
      </c>
      <c r="AC850" s="1">
        <v>2232</v>
      </c>
      <c r="AD850">
        <v>159</v>
      </c>
      <c r="AE850" s="1">
        <v>354888</v>
      </c>
      <c r="AF850">
        <v>0</v>
      </c>
      <c r="AJ850">
        <v>0</v>
      </c>
      <c r="AK850">
        <v>0</v>
      </c>
      <c r="AL850">
        <v>0</v>
      </c>
      <c r="AM850">
        <v>0</v>
      </c>
      <c r="AN850">
        <v>0</v>
      </c>
      <c r="AO850">
        <v>0</v>
      </c>
      <c r="AP850" s="2">
        <v>42831</v>
      </c>
      <c r="AQ850" t="s">
        <v>72</v>
      </c>
      <c r="AR850" t="s">
        <v>72</v>
      </c>
      <c r="AS850">
        <v>371</v>
      </c>
      <c r="AT850" s="4">
        <v>42775</v>
      </c>
      <c r="AU850" t="s">
        <v>73</v>
      </c>
      <c r="AV850">
        <v>371</v>
      </c>
      <c r="AW850" s="4">
        <v>42775</v>
      </c>
      <c r="BD850">
        <v>0</v>
      </c>
      <c r="BN850" t="s">
        <v>74</v>
      </c>
    </row>
    <row r="851" spans="1:66">
      <c r="A851">
        <v>101130</v>
      </c>
      <c r="B851" t="s">
        <v>239</v>
      </c>
      <c r="C851" s="1">
        <v>43300101</v>
      </c>
      <c r="D851" t="s">
        <v>67</v>
      </c>
      <c r="H851" t="str">
        <f t="shared" si="112"/>
        <v>09238800156</v>
      </c>
      <c r="I851" t="str">
        <f t="shared" si="112"/>
        <v>09238800156</v>
      </c>
      <c r="K851" t="str">
        <f>""</f>
        <v/>
      </c>
      <c r="M851" t="s">
        <v>68</v>
      </c>
      <c r="N851" t="str">
        <f t="shared" si="110"/>
        <v>FOR</v>
      </c>
      <c r="O851" t="s">
        <v>69</v>
      </c>
      <c r="P851" t="s">
        <v>75</v>
      </c>
      <c r="Q851">
        <v>2016</v>
      </c>
      <c r="R851" s="4">
        <v>42556</v>
      </c>
      <c r="S851" s="2">
        <v>42558</v>
      </c>
      <c r="T851" s="2">
        <v>42556</v>
      </c>
      <c r="U851" s="4">
        <v>42616</v>
      </c>
      <c r="V851" t="s">
        <v>71</v>
      </c>
      <c r="W851" t="str">
        <f>"          1023899170"</f>
        <v xml:space="preserve">          1023899170</v>
      </c>
      <c r="X851" s="1">
        <v>1134.5999999999999</v>
      </c>
      <c r="Y851">
        <v>0</v>
      </c>
      <c r="Z851" s="5">
        <v>930</v>
      </c>
      <c r="AA851" s="3">
        <v>159</v>
      </c>
      <c r="AB851" s="5">
        <v>147870</v>
      </c>
      <c r="AC851">
        <v>930</v>
      </c>
      <c r="AD851">
        <v>159</v>
      </c>
      <c r="AE851" s="1">
        <v>147870</v>
      </c>
      <c r="AF851">
        <v>0</v>
      </c>
      <c r="AJ851">
        <v>0</v>
      </c>
      <c r="AK851">
        <v>0</v>
      </c>
      <c r="AL851">
        <v>0</v>
      </c>
      <c r="AM851">
        <v>0</v>
      </c>
      <c r="AN851">
        <v>0</v>
      </c>
      <c r="AO851">
        <v>0</v>
      </c>
      <c r="AP851" s="2">
        <v>42831</v>
      </c>
      <c r="AQ851" t="s">
        <v>72</v>
      </c>
      <c r="AR851" t="s">
        <v>72</v>
      </c>
      <c r="AS851">
        <v>371</v>
      </c>
      <c r="AT851" s="4">
        <v>42775</v>
      </c>
      <c r="AU851" t="s">
        <v>73</v>
      </c>
      <c r="AV851">
        <v>371</v>
      </c>
      <c r="AW851" s="4">
        <v>42775</v>
      </c>
      <c r="BD851">
        <v>0</v>
      </c>
      <c r="BN851" t="s">
        <v>74</v>
      </c>
    </row>
    <row r="852" spans="1:66">
      <c r="A852">
        <v>101130</v>
      </c>
      <c r="B852" t="s">
        <v>239</v>
      </c>
      <c r="C852" s="1">
        <v>43300101</v>
      </c>
      <c r="D852" t="s">
        <v>67</v>
      </c>
      <c r="H852" t="str">
        <f t="shared" si="112"/>
        <v>09238800156</v>
      </c>
      <c r="I852" t="str">
        <f t="shared" si="112"/>
        <v>09238800156</v>
      </c>
      <c r="K852" t="str">
        <f>""</f>
        <v/>
      </c>
      <c r="M852" t="s">
        <v>68</v>
      </c>
      <c r="N852" t="str">
        <f t="shared" si="110"/>
        <v>FOR</v>
      </c>
      <c r="O852" t="s">
        <v>69</v>
      </c>
      <c r="P852" t="s">
        <v>75</v>
      </c>
      <c r="Q852">
        <v>2016</v>
      </c>
      <c r="R852" s="4">
        <v>42556</v>
      </c>
      <c r="S852" s="2">
        <v>42558</v>
      </c>
      <c r="T852" s="2">
        <v>42556</v>
      </c>
      <c r="U852" s="4">
        <v>42616</v>
      </c>
      <c r="V852" t="s">
        <v>71</v>
      </c>
      <c r="W852" t="str">
        <f>"          1023899172"</f>
        <v xml:space="preserve">          1023899172</v>
      </c>
      <c r="X852" s="1">
        <v>1807.43</v>
      </c>
      <c r="Y852">
        <v>0</v>
      </c>
      <c r="Z852" s="5">
        <v>1481.5</v>
      </c>
      <c r="AA852" s="3">
        <v>159</v>
      </c>
      <c r="AB852" s="5">
        <v>235558.5</v>
      </c>
      <c r="AC852" s="1">
        <v>1481.5</v>
      </c>
      <c r="AD852">
        <v>159</v>
      </c>
      <c r="AE852" s="1">
        <v>235558.5</v>
      </c>
      <c r="AF852">
        <v>0</v>
      </c>
      <c r="AJ852">
        <v>0</v>
      </c>
      <c r="AK852">
        <v>0</v>
      </c>
      <c r="AL852">
        <v>0</v>
      </c>
      <c r="AM852">
        <v>0</v>
      </c>
      <c r="AN852">
        <v>0</v>
      </c>
      <c r="AO852">
        <v>0</v>
      </c>
      <c r="AP852" s="2">
        <v>42831</v>
      </c>
      <c r="AQ852" t="s">
        <v>72</v>
      </c>
      <c r="AR852" t="s">
        <v>72</v>
      </c>
      <c r="AS852">
        <v>371</v>
      </c>
      <c r="AT852" s="4">
        <v>42775</v>
      </c>
      <c r="AU852" t="s">
        <v>73</v>
      </c>
      <c r="AV852">
        <v>371</v>
      </c>
      <c r="AW852" s="4">
        <v>42775</v>
      </c>
      <c r="BD852">
        <v>0</v>
      </c>
      <c r="BN852" t="s">
        <v>74</v>
      </c>
    </row>
    <row r="853" spans="1:66">
      <c r="A853">
        <v>101130</v>
      </c>
      <c r="B853" t="s">
        <v>239</v>
      </c>
      <c r="C853" s="1">
        <v>43300101</v>
      </c>
      <c r="D853" t="s">
        <v>67</v>
      </c>
      <c r="H853" t="str">
        <f t="shared" si="112"/>
        <v>09238800156</v>
      </c>
      <c r="I853" t="str">
        <f t="shared" si="112"/>
        <v>09238800156</v>
      </c>
      <c r="K853" t="str">
        <f>""</f>
        <v/>
      </c>
      <c r="M853" t="s">
        <v>68</v>
      </c>
      <c r="N853" t="str">
        <f t="shared" si="110"/>
        <v>FOR</v>
      </c>
      <c r="O853" t="s">
        <v>69</v>
      </c>
      <c r="P853" t="s">
        <v>75</v>
      </c>
      <c r="Q853">
        <v>2016</v>
      </c>
      <c r="R853" s="4">
        <v>42556</v>
      </c>
      <c r="S853" s="2">
        <v>42558</v>
      </c>
      <c r="T853" s="2">
        <v>42557</v>
      </c>
      <c r="U853" s="4">
        <v>42617</v>
      </c>
      <c r="V853" t="s">
        <v>71</v>
      </c>
      <c r="W853" t="str">
        <f>"          1023900019"</f>
        <v xml:space="preserve">          1023900019</v>
      </c>
      <c r="X853">
        <v>284.60000000000002</v>
      </c>
      <c r="Y853">
        <v>0</v>
      </c>
      <c r="Z853" s="5">
        <v>233.28</v>
      </c>
      <c r="AA853" s="3">
        <v>158</v>
      </c>
      <c r="AB853" s="5">
        <v>36858.239999999998</v>
      </c>
      <c r="AC853">
        <v>233.28</v>
      </c>
      <c r="AD853">
        <v>158</v>
      </c>
      <c r="AE853" s="1">
        <v>36858.239999999998</v>
      </c>
      <c r="AF853">
        <v>0</v>
      </c>
      <c r="AJ853">
        <v>0</v>
      </c>
      <c r="AK853">
        <v>0</v>
      </c>
      <c r="AL853">
        <v>0</v>
      </c>
      <c r="AM853">
        <v>0</v>
      </c>
      <c r="AN853">
        <v>0</v>
      </c>
      <c r="AO853">
        <v>0</v>
      </c>
      <c r="AP853" s="2">
        <v>42831</v>
      </c>
      <c r="AQ853" t="s">
        <v>72</v>
      </c>
      <c r="AR853" t="s">
        <v>72</v>
      </c>
      <c r="AS853">
        <v>371</v>
      </c>
      <c r="AT853" s="4">
        <v>42775</v>
      </c>
      <c r="AU853" t="s">
        <v>73</v>
      </c>
      <c r="AV853">
        <v>371</v>
      </c>
      <c r="AW853" s="4">
        <v>42775</v>
      </c>
      <c r="BD853">
        <v>0</v>
      </c>
      <c r="BN853" t="s">
        <v>74</v>
      </c>
    </row>
    <row r="854" spans="1:66">
      <c r="A854">
        <v>101130</v>
      </c>
      <c r="B854" t="s">
        <v>239</v>
      </c>
      <c r="C854" s="1">
        <v>43300101</v>
      </c>
      <c r="D854" t="s">
        <v>67</v>
      </c>
      <c r="H854" t="str">
        <f t="shared" si="112"/>
        <v>09238800156</v>
      </c>
      <c r="I854" t="str">
        <f t="shared" si="112"/>
        <v>09238800156</v>
      </c>
      <c r="K854" t="str">
        <f>""</f>
        <v/>
      </c>
      <c r="M854" t="s">
        <v>68</v>
      </c>
      <c r="N854" t="str">
        <f t="shared" si="110"/>
        <v>FOR</v>
      </c>
      <c r="O854" t="s">
        <v>69</v>
      </c>
      <c r="P854" t="s">
        <v>75</v>
      </c>
      <c r="Q854">
        <v>2016</v>
      </c>
      <c r="R854" s="4">
        <v>42557</v>
      </c>
      <c r="S854" s="2">
        <v>42558</v>
      </c>
      <c r="T854" s="2">
        <v>42557</v>
      </c>
      <c r="U854" s="4">
        <v>42617</v>
      </c>
      <c r="V854" t="s">
        <v>71</v>
      </c>
      <c r="W854" t="str">
        <f>"          1023900777"</f>
        <v xml:space="preserve">          1023900777</v>
      </c>
      <c r="X854" s="1">
        <v>1737.04</v>
      </c>
      <c r="Y854">
        <v>0</v>
      </c>
      <c r="Z854" s="5">
        <v>1423.8</v>
      </c>
      <c r="AA854" s="3">
        <v>158</v>
      </c>
      <c r="AB854" s="5">
        <v>224960.4</v>
      </c>
      <c r="AC854" s="1">
        <v>1423.8</v>
      </c>
      <c r="AD854">
        <v>158</v>
      </c>
      <c r="AE854" s="1">
        <v>224960.4</v>
      </c>
      <c r="AF854">
        <v>0</v>
      </c>
      <c r="AJ854">
        <v>0</v>
      </c>
      <c r="AK854">
        <v>0</v>
      </c>
      <c r="AL854">
        <v>0</v>
      </c>
      <c r="AM854">
        <v>0</v>
      </c>
      <c r="AN854">
        <v>0</v>
      </c>
      <c r="AO854">
        <v>0</v>
      </c>
      <c r="AP854" s="2">
        <v>42831</v>
      </c>
      <c r="AQ854" t="s">
        <v>72</v>
      </c>
      <c r="AR854" t="s">
        <v>72</v>
      </c>
      <c r="AS854">
        <v>371</v>
      </c>
      <c r="AT854" s="4">
        <v>42775</v>
      </c>
      <c r="AU854" t="s">
        <v>73</v>
      </c>
      <c r="AV854">
        <v>371</v>
      </c>
      <c r="AW854" s="4">
        <v>42775</v>
      </c>
      <c r="BD854">
        <v>0</v>
      </c>
      <c r="BN854" t="s">
        <v>74</v>
      </c>
    </row>
    <row r="855" spans="1:66">
      <c r="A855">
        <v>101130</v>
      </c>
      <c r="B855" t="s">
        <v>239</v>
      </c>
      <c r="C855" s="1">
        <v>43300101</v>
      </c>
      <c r="D855" t="s">
        <v>67</v>
      </c>
      <c r="H855" t="str">
        <f t="shared" si="112"/>
        <v>09238800156</v>
      </c>
      <c r="I855" t="str">
        <f t="shared" si="112"/>
        <v>09238800156</v>
      </c>
      <c r="K855" t="str">
        <f>""</f>
        <v/>
      </c>
      <c r="M855" t="s">
        <v>68</v>
      </c>
      <c r="N855" t="str">
        <f t="shared" si="110"/>
        <v>FOR</v>
      </c>
      <c r="O855" t="s">
        <v>69</v>
      </c>
      <c r="P855" t="s">
        <v>75</v>
      </c>
      <c r="Q855">
        <v>2016</v>
      </c>
      <c r="R855" s="4">
        <v>42562</v>
      </c>
      <c r="S855" s="2">
        <v>42563</v>
      </c>
      <c r="T855" s="2">
        <v>42562</v>
      </c>
      <c r="U855" s="4">
        <v>42622</v>
      </c>
      <c r="V855" t="s">
        <v>71</v>
      </c>
      <c r="W855" t="str">
        <f>"          1023904390"</f>
        <v xml:space="preserve">          1023904390</v>
      </c>
      <c r="X855" s="1">
        <v>11407</v>
      </c>
      <c r="Y855">
        <v>0</v>
      </c>
      <c r="Z855" s="5">
        <v>9350</v>
      </c>
      <c r="AA855" s="3">
        <v>153</v>
      </c>
      <c r="AB855" s="5">
        <v>1430550</v>
      </c>
      <c r="AC855" s="1">
        <v>9350</v>
      </c>
      <c r="AD855">
        <v>153</v>
      </c>
      <c r="AE855" s="1">
        <v>1430550</v>
      </c>
      <c r="AF855">
        <v>0</v>
      </c>
      <c r="AJ855">
        <v>0</v>
      </c>
      <c r="AK855">
        <v>0</v>
      </c>
      <c r="AL855">
        <v>0</v>
      </c>
      <c r="AM855">
        <v>0</v>
      </c>
      <c r="AN855">
        <v>0</v>
      </c>
      <c r="AO855">
        <v>0</v>
      </c>
      <c r="AP855" s="2">
        <v>42831</v>
      </c>
      <c r="AQ855" t="s">
        <v>72</v>
      </c>
      <c r="AR855" t="s">
        <v>72</v>
      </c>
      <c r="AS855">
        <v>371</v>
      </c>
      <c r="AT855" s="4">
        <v>42775</v>
      </c>
      <c r="AU855" t="s">
        <v>73</v>
      </c>
      <c r="AV855">
        <v>371</v>
      </c>
      <c r="AW855" s="4">
        <v>42775</v>
      </c>
      <c r="BD855">
        <v>0</v>
      </c>
      <c r="BN855" t="s">
        <v>74</v>
      </c>
    </row>
    <row r="856" spans="1:66">
      <c r="A856">
        <v>101130</v>
      </c>
      <c r="B856" t="s">
        <v>239</v>
      </c>
      <c r="C856" s="1">
        <v>43300101</v>
      </c>
      <c r="D856" t="s">
        <v>67</v>
      </c>
      <c r="H856" t="str">
        <f t="shared" si="112"/>
        <v>09238800156</v>
      </c>
      <c r="I856" t="str">
        <f t="shared" si="112"/>
        <v>09238800156</v>
      </c>
      <c r="K856" t="str">
        <f>""</f>
        <v/>
      </c>
      <c r="M856" t="s">
        <v>68</v>
      </c>
      <c r="N856" t="str">
        <f t="shared" si="110"/>
        <v>FOR</v>
      </c>
      <c r="O856" t="s">
        <v>69</v>
      </c>
      <c r="P856" t="s">
        <v>75</v>
      </c>
      <c r="Q856">
        <v>2016</v>
      </c>
      <c r="R856" s="4">
        <v>42564</v>
      </c>
      <c r="S856" s="2">
        <v>42565</v>
      </c>
      <c r="T856" s="2">
        <v>42564</v>
      </c>
      <c r="U856" s="4">
        <v>42624</v>
      </c>
      <c r="V856" t="s">
        <v>71</v>
      </c>
      <c r="W856" t="str">
        <f>"          1023907061"</f>
        <v xml:space="preserve">          1023907061</v>
      </c>
      <c r="X856" s="1">
        <v>1405.44</v>
      </c>
      <c r="Y856">
        <v>0</v>
      </c>
      <c r="Z856" s="5">
        <v>1152</v>
      </c>
      <c r="AA856" s="3">
        <v>151</v>
      </c>
      <c r="AB856" s="5">
        <v>173952</v>
      </c>
      <c r="AC856" s="1">
        <v>1152</v>
      </c>
      <c r="AD856">
        <v>151</v>
      </c>
      <c r="AE856" s="1">
        <v>173952</v>
      </c>
      <c r="AF856">
        <v>0</v>
      </c>
      <c r="AJ856">
        <v>0</v>
      </c>
      <c r="AK856">
        <v>0</v>
      </c>
      <c r="AL856">
        <v>0</v>
      </c>
      <c r="AM856">
        <v>0</v>
      </c>
      <c r="AN856">
        <v>0</v>
      </c>
      <c r="AO856">
        <v>0</v>
      </c>
      <c r="AP856" s="2">
        <v>42831</v>
      </c>
      <c r="AQ856" t="s">
        <v>72</v>
      </c>
      <c r="AR856" t="s">
        <v>72</v>
      </c>
      <c r="AS856">
        <v>371</v>
      </c>
      <c r="AT856" s="4">
        <v>42775</v>
      </c>
      <c r="AU856" t="s">
        <v>73</v>
      </c>
      <c r="AV856">
        <v>371</v>
      </c>
      <c r="AW856" s="4">
        <v>42775</v>
      </c>
      <c r="BD856">
        <v>0</v>
      </c>
      <c r="BN856" t="s">
        <v>74</v>
      </c>
    </row>
    <row r="857" spans="1:66">
      <c r="A857">
        <v>101130</v>
      </c>
      <c r="B857" t="s">
        <v>239</v>
      </c>
      <c r="C857" s="1">
        <v>43300101</v>
      </c>
      <c r="D857" t="s">
        <v>67</v>
      </c>
      <c r="H857" t="str">
        <f t="shared" si="112"/>
        <v>09238800156</v>
      </c>
      <c r="I857" t="str">
        <f t="shared" si="112"/>
        <v>09238800156</v>
      </c>
      <c r="K857" t="str">
        <f>""</f>
        <v/>
      </c>
      <c r="M857" t="s">
        <v>68</v>
      </c>
      <c r="N857" t="str">
        <f t="shared" si="110"/>
        <v>FOR</v>
      </c>
      <c r="O857" t="s">
        <v>69</v>
      </c>
      <c r="P857" t="s">
        <v>75</v>
      </c>
      <c r="Q857">
        <v>2016</v>
      </c>
      <c r="R857" s="4">
        <v>42564</v>
      </c>
      <c r="S857" s="2">
        <v>42565</v>
      </c>
      <c r="T857" s="2">
        <v>42564</v>
      </c>
      <c r="U857" s="4">
        <v>42624</v>
      </c>
      <c r="V857" t="s">
        <v>71</v>
      </c>
      <c r="W857" t="str">
        <f>"          1023907062"</f>
        <v xml:space="preserve">          1023907062</v>
      </c>
      <c r="X857" s="1">
        <v>2496</v>
      </c>
      <c r="Y857">
        <v>0</v>
      </c>
      <c r="Z857" s="5">
        <v>2400</v>
      </c>
      <c r="AA857" s="3">
        <v>151</v>
      </c>
      <c r="AB857" s="5">
        <v>362400</v>
      </c>
      <c r="AC857" s="1">
        <v>2400</v>
      </c>
      <c r="AD857">
        <v>151</v>
      </c>
      <c r="AE857" s="1">
        <v>362400</v>
      </c>
      <c r="AF857">
        <v>0</v>
      </c>
      <c r="AJ857">
        <v>0</v>
      </c>
      <c r="AK857">
        <v>0</v>
      </c>
      <c r="AL857">
        <v>0</v>
      </c>
      <c r="AM857">
        <v>0</v>
      </c>
      <c r="AN857">
        <v>0</v>
      </c>
      <c r="AO857">
        <v>0</v>
      </c>
      <c r="AP857" s="2">
        <v>42831</v>
      </c>
      <c r="AQ857" t="s">
        <v>72</v>
      </c>
      <c r="AR857" t="s">
        <v>72</v>
      </c>
      <c r="AS857">
        <v>371</v>
      </c>
      <c r="AT857" s="4">
        <v>42775</v>
      </c>
      <c r="AU857" t="s">
        <v>73</v>
      </c>
      <c r="AV857">
        <v>371</v>
      </c>
      <c r="AW857" s="4">
        <v>42775</v>
      </c>
      <c r="BD857">
        <v>0</v>
      </c>
      <c r="BN857" t="s">
        <v>74</v>
      </c>
    </row>
    <row r="858" spans="1:66">
      <c r="A858">
        <v>101130</v>
      </c>
      <c r="B858" t="s">
        <v>239</v>
      </c>
      <c r="C858" s="1">
        <v>43300101</v>
      </c>
      <c r="D858" t="s">
        <v>67</v>
      </c>
      <c r="H858" t="str">
        <f t="shared" si="112"/>
        <v>09238800156</v>
      </c>
      <c r="I858" t="str">
        <f t="shared" si="112"/>
        <v>09238800156</v>
      </c>
      <c r="K858" t="str">
        <f>""</f>
        <v/>
      </c>
      <c r="M858" t="s">
        <v>68</v>
      </c>
      <c r="N858" t="str">
        <f t="shared" si="110"/>
        <v>FOR</v>
      </c>
      <c r="O858" t="s">
        <v>69</v>
      </c>
      <c r="P858" t="s">
        <v>75</v>
      </c>
      <c r="Q858">
        <v>2016</v>
      </c>
      <c r="R858" s="4">
        <v>42565</v>
      </c>
      <c r="S858" s="2">
        <v>42571</v>
      </c>
      <c r="T858" s="2">
        <v>42567</v>
      </c>
      <c r="U858" s="4">
        <v>42627</v>
      </c>
      <c r="V858" t="s">
        <v>71</v>
      </c>
      <c r="W858" t="str">
        <f>"          1023908484"</f>
        <v xml:space="preserve">          1023908484</v>
      </c>
      <c r="X858">
        <v>366</v>
      </c>
      <c r="Y858">
        <v>0</v>
      </c>
      <c r="Z858" s="5">
        <v>300</v>
      </c>
      <c r="AA858" s="3">
        <v>148</v>
      </c>
      <c r="AB858" s="5">
        <v>44400</v>
      </c>
      <c r="AC858">
        <v>300</v>
      </c>
      <c r="AD858">
        <v>148</v>
      </c>
      <c r="AE858" s="1">
        <v>44400</v>
      </c>
      <c r="AF858">
        <v>0</v>
      </c>
      <c r="AJ858">
        <v>0</v>
      </c>
      <c r="AK858">
        <v>0</v>
      </c>
      <c r="AL858">
        <v>0</v>
      </c>
      <c r="AM858">
        <v>0</v>
      </c>
      <c r="AN858">
        <v>0</v>
      </c>
      <c r="AO858">
        <v>0</v>
      </c>
      <c r="AP858" s="2">
        <v>42831</v>
      </c>
      <c r="AQ858" t="s">
        <v>72</v>
      </c>
      <c r="AR858" t="s">
        <v>72</v>
      </c>
      <c r="AS858">
        <v>371</v>
      </c>
      <c r="AT858" s="4">
        <v>42775</v>
      </c>
      <c r="AU858" t="s">
        <v>73</v>
      </c>
      <c r="AV858">
        <v>371</v>
      </c>
      <c r="AW858" s="4">
        <v>42775</v>
      </c>
      <c r="BD858">
        <v>0</v>
      </c>
      <c r="BN858" t="s">
        <v>74</v>
      </c>
    </row>
    <row r="859" spans="1:66">
      <c r="A859">
        <v>101130</v>
      </c>
      <c r="B859" t="s">
        <v>239</v>
      </c>
      <c r="C859" s="1">
        <v>43300101</v>
      </c>
      <c r="D859" t="s">
        <v>67</v>
      </c>
      <c r="H859" t="str">
        <f t="shared" si="112"/>
        <v>09238800156</v>
      </c>
      <c r="I859" t="str">
        <f t="shared" si="112"/>
        <v>09238800156</v>
      </c>
      <c r="K859" t="str">
        <f>""</f>
        <v/>
      </c>
      <c r="M859" t="s">
        <v>68</v>
      </c>
      <c r="N859" t="str">
        <f t="shared" si="110"/>
        <v>FOR</v>
      </c>
      <c r="O859" t="s">
        <v>69</v>
      </c>
      <c r="P859" t="s">
        <v>75</v>
      </c>
      <c r="Q859">
        <v>2016</v>
      </c>
      <c r="R859" s="4">
        <v>42565</v>
      </c>
      <c r="S859" s="2">
        <v>42571</v>
      </c>
      <c r="T859" s="2">
        <v>42567</v>
      </c>
      <c r="U859" s="4">
        <v>42627</v>
      </c>
      <c r="V859" t="s">
        <v>71</v>
      </c>
      <c r="W859" t="str">
        <f>"          1023908485"</f>
        <v xml:space="preserve">          1023908485</v>
      </c>
      <c r="X859">
        <v>45.14</v>
      </c>
      <c r="Y859">
        <v>0</v>
      </c>
      <c r="Z859" s="5">
        <v>37</v>
      </c>
      <c r="AA859" s="3">
        <v>148</v>
      </c>
      <c r="AB859" s="5">
        <v>5476</v>
      </c>
      <c r="AC859">
        <v>37</v>
      </c>
      <c r="AD859">
        <v>148</v>
      </c>
      <c r="AE859" s="1">
        <v>5476</v>
      </c>
      <c r="AF859">
        <v>0</v>
      </c>
      <c r="AJ859">
        <v>0</v>
      </c>
      <c r="AK859">
        <v>0</v>
      </c>
      <c r="AL859">
        <v>0</v>
      </c>
      <c r="AM859">
        <v>0</v>
      </c>
      <c r="AN859">
        <v>0</v>
      </c>
      <c r="AO859">
        <v>0</v>
      </c>
      <c r="AP859" s="2">
        <v>42831</v>
      </c>
      <c r="AQ859" t="s">
        <v>72</v>
      </c>
      <c r="AR859" t="s">
        <v>72</v>
      </c>
      <c r="AS859">
        <v>371</v>
      </c>
      <c r="AT859" s="4">
        <v>42775</v>
      </c>
      <c r="AU859" t="s">
        <v>73</v>
      </c>
      <c r="AV859">
        <v>371</v>
      </c>
      <c r="AW859" s="4">
        <v>42775</v>
      </c>
      <c r="BD859">
        <v>0</v>
      </c>
      <c r="BN859" t="s">
        <v>74</v>
      </c>
    </row>
    <row r="860" spans="1:66">
      <c r="A860">
        <v>101130</v>
      </c>
      <c r="B860" t="s">
        <v>239</v>
      </c>
      <c r="C860" s="1">
        <v>43300101</v>
      </c>
      <c r="D860" t="s">
        <v>67</v>
      </c>
      <c r="H860" t="str">
        <f t="shared" si="112"/>
        <v>09238800156</v>
      </c>
      <c r="I860" t="str">
        <f t="shared" si="112"/>
        <v>09238800156</v>
      </c>
      <c r="K860" t="str">
        <f>""</f>
        <v/>
      </c>
      <c r="M860" t="s">
        <v>68</v>
      </c>
      <c r="N860" t="str">
        <f t="shared" si="110"/>
        <v>FOR</v>
      </c>
      <c r="O860" t="s">
        <v>69</v>
      </c>
      <c r="P860" t="s">
        <v>75</v>
      </c>
      <c r="Q860">
        <v>2016</v>
      </c>
      <c r="R860" s="4">
        <v>42566</v>
      </c>
      <c r="S860" s="2">
        <v>42571</v>
      </c>
      <c r="T860" s="2">
        <v>42568</v>
      </c>
      <c r="U860" s="4">
        <v>42628</v>
      </c>
      <c r="V860" t="s">
        <v>71</v>
      </c>
      <c r="W860" t="str">
        <f>"          1023909326"</f>
        <v xml:space="preserve">          1023909326</v>
      </c>
      <c r="X860">
        <v>873.57</v>
      </c>
      <c r="Y860">
        <v>0</v>
      </c>
      <c r="Z860" s="5">
        <v>716.04</v>
      </c>
      <c r="AA860" s="3">
        <v>147</v>
      </c>
      <c r="AB860" s="5">
        <v>105257.88</v>
      </c>
      <c r="AC860">
        <v>716.04</v>
      </c>
      <c r="AD860">
        <v>147</v>
      </c>
      <c r="AE860" s="1">
        <v>105257.88</v>
      </c>
      <c r="AF860">
        <v>0</v>
      </c>
      <c r="AJ860">
        <v>0</v>
      </c>
      <c r="AK860">
        <v>0</v>
      </c>
      <c r="AL860">
        <v>0</v>
      </c>
      <c r="AM860">
        <v>0</v>
      </c>
      <c r="AN860">
        <v>0</v>
      </c>
      <c r="AO860">
        <v>0</v>
      </c>
      <c r="AP860" s="2">
        <v>42831</v>
      </c>
      <c r="AQ860" t="s">
        <v>72</v>
      </c>
      <c r="AR860" t="s">
        <v>72</v>
      </c>
      <c r="AS860">
        <v>371</v>
      </c>
      <c r="AT860" s="4">
        <v>42775</v>
      </c>
      <c r="AU860" t="s">
        <v>73</v>
      </c>
      <c r="AV860">
        <v>371</v>
      </c>
      <c r="AW860" s="4">
        <v>42775</v>
      </c>
      <c r="BD860">
        <v>0</v>
      </c>
      <c r="BN860" t="s">
        <v>74</v>
      </c>
    </row>
    <row r="861" spans="1:66">
      <c r="A861">
        <v>101130</v>
      </c>
      <c r="B861" t="s">
        <v>239</v>
      </c>
      <c r="C861" s="1">
        <v>43300101</v>
      </c>
      <c r="D861" t="s">
        <v>67</v>
      </c>
      <c r="H861" t="str">
        <f t="shared" si="112"/>
        <v>09238800156</v>
      </c>
      <c r="I861" t="str">
        <f t="shared" si="112"/>
        <v>09238800156</v>
      </c>
      <c r="K861" t="str">
        <f>""</f>
        <v/>
      </c>
      <c r="M861" t="s">
        <v>68</v>
      </c>
      <c r="N861" t="str">
        <f t="shared" si="110"/>
        <v>FOR</v>
      </c>
      <c r="O861" t="s">
        <v>69</v>
      </c>
      <c r="P861" t="s">
        <v>75</v>
      </c>
      <c r="Q861">
        <v>2016</v>
      </c>
      <c r="R861" s="4">
        <v>42566</v>
      </c>
      <c r="S861" s="2">
        <v>42571</v>
      </c>
      <c r="T861" s="2">
        <v>42568</v>
      </c>
      <c r="U861" s="4">
        <v>42628</v>
      </c>
      <c r="V861" t="s">
        <v>71</v>
      </c>
      <c r="W861" t="str">
        <f>"          1023909327"</f>
        <v xml:space="preserve">          1023909327</v>
      </c>
      <c r="X861">
        <v>151.88999999999999</v>
      </c>
      <c r="Y861">
        <v>0</v>
      </c>
      <c r="Z861" s="5">
        <v>124.5</v>
      </c>
      <c r="AA861" s="3">
        <v>147</v>
      </c>
      <c r="AB861" s="5">
        <v>18301.5</v>
      </c>
      <c r="AC861">
        <v>124.5</v>
      </c>
      <c r="AD861">
        <v>147</v>
      </c>
      <c r="AE861" s="1">
        <v>18301.5</v>
      </c>
      <c r="AF861">
        <v>0</v>
      </c>
      <c r="AJ861">
        <v>0</v>
      </c>
      <c r="AK861">
        <v>0</v>
      </c>
      <c r="AL861">
        <v>0</v>
      </c>
      <c r="AM861">
        <v>0</v>
      </c>
      <c r="AN861">
        <v>0</v>
      </c>
      <c r="AO861">
        <v>0</v>
      </c>
      <c r="AP861" s="2">
        <v>42831</v>
      </c>
      <c r="AQ861" t="s">
        <v>72</v>
      </c>
      <c r="AR861" t="s">
        <v>72</v>
      </c>
      <c r="AS861">
        <v>371</v>
      </c>
      <c r="AT861" s="4">
        <v>42775</v>
      </c>
      <c r="AU861" t="s">
        <v>73</v>
      </c>
      <c r="AV861">
        <v>371</v>
      </c>
      <c r="AW861" s="4">
        <v>42775</v>
      </c>
      <c r="BD861">
        <v>0</v>
      </c>
      <c r="BN861" t="s">
        <v>74</v>
      </c>
    </row>
    <row r="862" spans="1:66">
      <c r="A862">
        <v>101130</v>
      </c>
      <c r="B862" t="s">
        <v>239</v>
      </c>
      <c r="C862" s="1">
        <v>43300101</v>
      </c>
      <c r="D862" t="s">
        <v>67</v>
      </c>
      <c r="H862" t="str">
        <f t="shared" si="112"/>
        <v>09238800156</v>
      </c>
      <c r="I862" t="str">
        <f t="shared" si="112"/>
        <v>09238800156</v>
      </c>
      <c r="K862" t="str">
        <f>""</f>
        <v/>
      </c>
      <c r="M862" t="s">
        <v>68</v>
      </c>
      <c r="N862" t="str">
        <f t="shared" si="110"/>
        <v>FOR</v>
      </c>
      <c r="O862" t="s">
        <v>69</v>
      </c>
      <c r="P862" t="s">
        <v>75</v>
      </c>
      <c r="Q862">
        <v>2016</v>
      </c>
      <c r="R862" s="4">
        <v>42566</v>
      </c>
      <c r="S862" s="2">
        <v>42577</v>
      </c>
      <c r="T862" s="2">
        <v>42573</v>
      </c>
      <c r="U862" s="4">
        <v>42633</v>
      </c>
      <c r="V862" t="s">
        <v>71</v>
      </c>
      <c r="W862" t="str">
        <f>"          1023909328"</f>
        <v xml:space="preserve">          1023909328</v>
      </c>
      <c r="X862">
        <v>134.19999999999999</v>
      </c>
      <c r="Y862">
        <v>0</v>
      </c>
      <c r="Z862" s="5">
        <v>110</v>
      </c>
      <c r="AA862" s="3">
        <v>142</v>
      </c>
      <c r="AB862" s="5">
        <v>15620</v>
      </c>
      <c r="AC862">
        <v>110</v>
      </c>
      <c r="AD862">
        <v>142</v>
      </c>
      <c r="AE862" s="1">
        <v>15620</v>
      </c>
      <c r="AF862">
        <v>0</v>
      </c>
      <c r="AJ862">
        <v>0</v>
      </c>
      <c r="AK862">
        <v>0</v>
      </c>
      <c r="AL862">
        <v>0</v>
      </c>
      <c r="AM862">
        <v>0</v>
      </c>
      <c r="AN862">
        <v>0</v>
      </c>
      <c r="AO862">
        <v>0</v>
      </c>
      <c r="AP862" s="2">
        <v>42831</v>
      </c>
      <c r="AQ862" t="s">
        <v>72</v>
      </c>
      <c r="AR862" t="s">
        <v>72</v>
      </c>
      <c r="AS862">
        <v>371</v>
      </c>
      <c r="AT862" s="4">
        <v>42775</v>
      </c>
      <c r="AU862" t="s">
        <v>73</v>
      </c>
      <c r="AV862">
        <v>371</v>
      </c>
      <c r="AW862" s="4">
        <v>42775</v>
      </c>
      <c r="BD862">
        <v>0</v>
      </c>
      <c r="BN862" t="s">
        <v>74</v>
      </c>
    </row>
    <row r="863" spans="1:66">
      <c r="A863">
        <v>101130</v>
      </c>
      <c r="B863" t="s">
        <v>239</v>
      </c>
      <c r="C863" s="1">
        <v>43300101</v>
      </c>
      <c r="D863" t="s">
        <v>67</v>
      </c>
      <c r="H863" t="str">
        <f t="shared" si="112"/>
        <v>09238800156</v>
      </c>
      <c r="I863" t="str">
        <f t="shared" si="112"/>
        <v>09238800156</v>
      </c>
      <c r="K863" t="str">
        <f>""</f>
        <v/>
      </c>
      <c r="M863" t="s">
        <v>68</v>
      </c>
      <c r="N863" t="str">
        <f t="shared" si="110"/>
        <v>FOR</v>
      </c>
      <c r="O863" t="s">
        <v>69</v>
      </c>
      <c r="P863" t="s">
        <v>75</v>
      </c>
      <c r="Q863">
        <v>2016</v>
      </c>
      <c r="R863" s="4">
        <v>42569</v>
      </c>
      <c r="S863" s="2">
        <v>42571</v>
      </c>
      <c r="T863" s="2">
        <v>42570</v>
      </c>
      <c r="U863" s="4">
        <v>42630</v>
      </c>
      <c r="V863" t="s">
        <v>71</v>
      </c>
      <c r="W863" t="str">
        <f>"          1023911164"</f>
        <v xml:space="preserve">          1023911164</v>
      </c>
      <c r="X863" s="1">
        <v>4172.3999999999996</v>
      </c>
      <c r="Y863">
        <v>0</v>
      </c>
      <c r="Z863" s="5">
        <v>3420</v>
      </c>
      <c r="AA863" s="3">
        <v>145</v>
      </c>
      <c r="AB863" s="5">
        <v>495900</v>
      </c>
      <c r="AC863" s="1">
        <v>3420</v>
      </c>
      <c r="AD863">
        <v>145</v>
      </c>
      <c r="AE863" s="1">
        <v>495900</v>
      </c>
      <c r="AF863">
        <v>0</v>
      </c>
      <c r="AJ863">
        <v>0</v>
      </c>
      <c r="AK863">
        <v>0</v>
      </c>
      <c r="AL863">
        <v>0</v>
      </c>
      <c r="AM863">
        <v>0</v>
      </c>
      <c r="AN863">
        <v>0</v>
      </c>
      <c r="AO863">
        <v>0</v>
      </c>
      <c r="AP863" s="2">
        <v>42831</v>
      </c>
      <c r="AQ863" t="s">
        <v>72</v>
      </c>
      <c r="AR863" t="s">
        <v>72</v>
      </c>
      <c r="AS863">
        <v>371</v>
      </c>
      <c r="AT863" s="4">
        <v>42775</v>
      </c>
      <c r="AU863" t="s">
        <v>73</v>
      </c>
      <c r="AV863">
        <v>371</v>
      </c>
      <c r="AW863" s="4">
        <v>42775</v>
      </c>
      <c r="BD863">
        <v>0</v>
      </c>
      <c r="BN863" t="s">
        <v>74</v>
      </c>
    </row>
    <row r="864" spans="1:66">
      <c r="A864">
        <v>101130</v>
      </c>
      <c r="B864" t="s">
        <v>239</v>
      </c>
      <c r="C864" s="1">
        <v>43300101</v>
      </c>
      <c r="D864" t="s">
        <v>67</v>
      </c>
      <c r="H864" t="str">
        <f t="shared" si="112"/>
        <v>09238800156</v>
      </c>
      <c r="I864" t="str">
        <f t="shared" si="112"/>
        <v>09238800156</v>
      </c>
      <c r="K864" t="str">
        <f>""</f>
        <v/>
      </c>
      <c r="M864" t="s">
        <v>68</v>
      </c>
      <c r="N864" t="str">
        <f t="shared" si="110"/>
        <v>FOR</v>
      </c>
      <c r="O864" t="s">
        <v>69</v>
      </c>
      <c r="P864" t="s">
        <v>75</v>
      </c>
      <c r="Q864">
        <v>2016</v>
      </c>
      <c r="R864" s="4">
        <v>42569</v>
      </c>
      <c r="S864" s="2">
        <v>42571</v>
      </c>
      <c r="T864" s="2">
        <v>42570</v>
      </c>
      <c r="U864" s="4">
        <v>42630</v>
      </c>
      <c r="V864" t="s">
        <v>71</v>
      </c>
      <c r="W864" t="str">
        <f>"          1023911166"</f>
        <v xml:space="preserve">          1023911166</v>
      </c>
      <c r="X864" s="1">
        <v>7347.6</v>
      </c>
      <c r="Y864">
        <v>0</v>
      </c>
      <c r="Z864" s="5">
        <v>7065</v>
      </c>
      <c r="AA864" s="3">
        <v>145</v>
      </c>
      <c r="AB864" s="5">
        <v>1024425</v>
      </c>
      <c r="AC864" s="1">
        <v>7065</v>
      </c>
      <c r="AD864">
        <v>145</v>
      </c>
      <c r="AE864" s="1">
        <v>1024425</v>
      </c>
      <c r="AF864">
        <v>0</v>
      </c>
      <c r="AJ864">
        <v>0</v>
      </c>
      <c r="AK864">
        <v>0</v>
      </c>
      <c r="AL864">
        <v>0</v>
      </c>
      <c r="AM864">
        <v>0</v>
      </c>
      <c r="AN864">
        <v>0</v>
      </c>
      <c r="AO864">
        <v>0</v>
      </c>
      <c r="AP864" s="2">
        <v>42831</v>
      </c>
      <c r="AQ864" t="s">
        <v>72</v>
      </c>
      <c r="AR864" t="s">
        <v>72</v>
      </c>
      <c r="AS864">
        <v>371</v>
      </c>
      <c r="AT864" s="4">
        <v>42775</v>
      </c>
      <c r="AU864" t="s">
        <v>73</v>
      </c>
      <c r="AV864">
        <v>371</v>
      </c>
      <c r="AW864" s="4">
        <v>42775</v>
      </c>
      <c r="BD864">
        <v>0</v>
      </c>
      <c r="BN864" t="s">
        <v>74</v>
      </c>
    </row>
    <row r="865" spans="1:66">
      <c r="A865">
        <v>101130</v>
      </c>
      <c r="B865" t="s">
        <v>239</v>
      </c>
      <c r="C865" s="1">
        <v>43300101</v>
      </c>
      <c r="D865" t="s">
        <v>67</v>
      </c>
      <c r="H865" t="str">
        <f t="shared" si="112"/>
        <v>09238800156</v>
      </c>
      <c r="I865" t="str">
        <f t="shared" si="112"/>
        <v>09238800156</v>
      </c>
      <c r="K865" t="str">
        <f>""</f>
        <v/>
      </c>
      <c r="M865" t="s">
        <v>68</v>
      </c>
      <c r="N865" t="str">
        <f t="shared" si="110"/>
        <v>FOR</v>
      </c>
      <c r="O865" t="s">
        <v>69</v>
      </c>
      <c r="P865" t="s">
        <v>75</v>
      </c>
      <c r="Q865">
        <v>2016</v>
      </c>
      <c r="R865" s="4">
        <v>42569</v>
      </c>
      <c r="S865" s="2">
        <v>42571</v>
      </c>
      <c r="T865" s="2">
        <v>42570</v>
      </c>
      <c r="U865" s="4">
        <v>42630</v>
      </c>
      <c r="V865" t="s">
        <v>71</v>
      </c>
      <c r="W865" t="str">
        <f>"          1023911167"</f>
        <v xml:space="preserve">          1023911167</v>
      </c>
      <c r="X865">
        <v>183</v>
      </c>
      <c r="Y865">
        <v>0</v>
      </c>
      <c r="Z865" s="5">
        <v>150</v>
      </c>
      <c r="AA865" s="3">
        <v>145</v>
      </c>
      <c r="AB865" s="5">
        <v>21750</v>
      </c>
      <c r="AC865">
        <v>150</v>
      </c>
      <c r="AD865">
        <v>145</v>
      </c>
      <c r="AE865" s="1">
        <v>21750</v>
      </c>
      <c r="AF865">
        <v>0</v>
      </c>
      <c r="AJ865">
        <v>0</v>
      </c>
      <c r="AK865">
        <v>0</v>
      </c>
      <c r="AL865">
        <v>0</v>
      </c>
      <c r="AM865">
        <v>0</v>
      </c>
      <c r="AN865">
        <v>0</v>
      </c>
      <c r="AO865">
        <v>0</v>
      </c>
      <c r="AP865" s="2">
        <v>42831</v>
      </c>
      <c r="AQ865" t="s">
        <v>72</v>
      </c>
      <c r="AR865" t="s">
        <v>72</v>
      </c>
      <c r="AS865">
        <v>371</v>
      </c>
      <c r="AT865" s="4">
        <v>42775</v>
      </c>
      <c r="AU865" t="s">
        <v>73</v>
      </c>
      <c r="AV865">
        <v>371</v>
      </c>
      <c r="AW865" s="4">
        <v>42775</v>
      </c>
      <c r="BD865">
        <v>0</v>
      </c>
      <c r="BN865" t="s">
        <v>74</v>
      </c>
    </row>
    <row r="866" spans="1:66">
      <c r="A866">
        <v>101130</v>
      </c>
      <c r="B866" t="s">
        <v>239</v>
      </c>
      <c r="C866" s="1">
        <v>43300101</v>
      </c>
      <c r="D866" t="s">
        <v>67</v>
      </c>
      <c r="H866" t="str">
        <f t="shared" si="112"/>
        <v>09238800156</v>
      </c>
      <c r="I866" t="str">
        <f t="shared" si="112"/>
        <v>09238800156</v>
      </c>
      <c r="K866" t="str">
        <f>""</f>
        <v/>
      </c>
      <c r="M866" t="s">
        <v>68</v>
      </c>
      <c r="N866" t="str">
        <f t="shared" si="110"/>
        <v>FOR</v>
      </c>
      <c r="O866" t="s">
        <v>69</v>
      </c>
      <c r="P866" t="s">
        <v>75</v>
      </c>
      <c r="Q866">
        <v>2016</v>
      </c>
      <c r="R866" s="4">
        <v>42570</v>
      </c>
      <c r="S866" s="2">
        <v>42577</v>
      </c>
      <c r="T866" s="2">
        <v>42573</v>
      </c>
      <c r="U866" s="4">
        <v>42633</v>
      </c>
      <c r="V866" t="s">
        <v>71</v>
      </c>
      <c r="W866" t="str">
        <f>"          1023912602"</f>
        <v xml:space="preserve">          1023912602</v>
      </c>
      <c r="X866">
        <v>183</v>
      </c>
      <c r="Y866">
        <v>0</v>
      </c>
      <c r="Z866" s="5">
        <v>150</v>
      </c>
      <c r="AA866" s="3">
        <v>142</v>
      </c>
      <c r="AB866" s="5">
        <v>21300</v>
      </c>
      <c r="AC866">
        <v>150</v>
      </c>
      <c r="AD866">
        <v>142</v>
      </c>
      <c r="AE866" s="1">
        <v>21300</v>
      </c>
      <c r="AF866">
        <v>0</v>
      </c>
      <c r="AJ866">
        <v>0</v>
      </c>
      <c r="AK866">
        <v>0</v>
      </c>
      <c r="AL866">
        <v>0</v>
      </c>
      <c r="AM866">
        <v>0</v>
      </c>
      <c r="AN866">
        <v>0</v>
      </c>
      <c r="AO866">
        <v>0</v>
      </c>
      <c r="AP866" s="2">
        <v>42831</v>
      </c>
      <c r="AQ866" t="s">
        <v>72</v>
      </c>
      <c r="AR866" t="s">
        <v>72</v>
      </c>
      <c r="AS866">
        <v>371</v>
      </c>
      <c r="AT866" s="4">
        <v>42775</v>
      </c>
      <c r="AU866" t="s">
        <v>73</v>
      </c>
      <c r="AV866">
        <v>371</v>
      </c>
      <c r="AW866" s="4">
        <v>42775</v>
      </c>
      <c r="BD866">
        <v>0</v>
      </c>
      <c r="BN866" t="s">
        <v>74</v>
      </c>
    </row>
    <row r="867" spans="1:66">
      <c r="A867">
        <v>101130</v>
      </c>
      <c r="B867" t="s">
        <v>239</v>
      </c>
      <c r="C867" s="1">
        <v>43300101</v>
      </c>
      <c r="D867" t="s">
        <v>67</v>
      </c>
      <c r="H867" t="str">
        <f t="shared" si="112"/>
        <v>09238800156</v>
      </c>
      <c r="I867" t="str">
        <f t="shared" si="112"/>
        <v>09238800156</v>
      </c>
      <c r="K867" t="str">
        <f>""</f>
        <v/>
      </c>
      <c r="M867" t="s">
        <v>68</v>
      </c>
      <c r="N867" t="str">
        <f t="shared" si="110"/>
        <v>FOR</v>
      </c>
      <c r="O867" t="s">
        <v>69</v>
      </c>
      <c r="P867" t="s">
        <v>75</v>
      </c>
      <c r="Q867">
        <v>2016</v>
      </c>
      <c r="R867" s="4">
        <v>42570</v>
      </c>
      <c r="S867" s="2">
        <v>42571</v>
      </c>
      <c r="T867" s="2">
        <v>42570</v>
      </c>
      <c r="U867" s="4">
        <v>42630</v>
      </c>
      <c r="V867" t="s">
        <v>71</v>
      </c>
      <c r="W867" t="str">
        <f>"          1023912603"</f>
        <v xml:space="preserve">          1023912603</v>
      </c>
      <c r="X867">
        <v>241.8</v>
      </c>
      <c r="Y867">
        <v>0</v>
      </c>
      <c r="Z867" s="5">
        <v>232.5</v>
      </c>
      <c r="AA867" s="3">
        <v>145</v>
      </c>
      <c r="AB867" s="5">
        <v>33712.5</v>
      </c>
      <c r="AC867">
        <v>232.5</v>
      </c>
      <c r="AD867">
        <v>145</v>
      </c>
      <c r="AE867" s="1">
        <v>33712.5</v>
      </c>
      <c r="AF867">
        <v>0</v>
      </c>
      <c r="AJ867">
        <v>0</v>
      </c>
      <c r="AK867">
        <v>0</v>
      </c>
      <c r="AL867">
        <v>0</v>
      </c>
      <c r="AM867">
        <v>0</v>
      </c>
      <c r="AN867">
        <v>0</v>
      </c>
      <c r="AO867">
        <v>0</v>
      </c>
      <c r="AP867" s="2">
        <v>42831</v>
      </c>
      <c r="AQ867" t="s">
        <v>72</v>
      </c>
      <c r="AR867" t="s">
        <v>72</v>
      </c>
      <c r="AS867">
        <v>371</v>
      </c>
      <c r="AT867" s="4">
        <v>42775</v>
      </c>
      <c r="AU867" t="s">
        <v>73</v>
      </c>
      <c r="AV867">
        <v>371</v>
      </c>
      <c r="AW867" s="4">
        <v>42775</v>
      </c>
      <c r="BD867">
        <v>0</v>
      </c>
      <c r="BN867" t="s">
        <v>74</v>
      </c>
    </row>
    <row r="868" spans="1:66">
      <c r="A868">
        <v>101130</v>
      </c>
      <c r="B868" t="s">
        <v>239</v>
      </c>
      <c r="C868" s="1">
        <v>43300101</v>
      </c>
      <c r="D868" t="s">
        <v>67</v>
      </c>
      <c r="H868" t="str">
        <f t="shared" si="112"/>
        <v>09238800156</v>
      </c>
      <c r="I868" t="str">
        <f t="shared" si="112"/>
        <v>09238800156</v>
      </c>
      <c r="K868" t="str">
        <f>""</f>
        <v/>
      </c>
      <c r="M868" t="s">
        <v>68</v>
      </c>
      <c r="N868" t="str">
        <f t="shared" si="110"/>
        <v>FOR</v>
      </c>
      <c r="O868" t="s">
        <v>69</v>
      </c>
      <c r="P868" t="s">
        <v>75</v>
      </c>
      <c r="Q868">
        <v>2016</v>
      </c>
      <c r="R868" s="4">
        <v>42570</v>
      </c>
      <c r="S868" s="2">
        <v>42571</v>
      </c>
      <c r="T868" s="2">
        <v>42570</v>
      </c>
      <c r="U868" s="4">
        <v>42630</v>
      </c>
      <c r="V868" t="s">
        <v>71</v>
      </c>
      <c r="W868" t="str">
        <f>"          1023912604"</f>
        <v xml:space="preserve">          1023912604</v>
      </c>
      <c r="X868">
        <v>312</v>
      </c>
      <c r="Y868">
        <v>0</v>
      </c>
      <c r="Z868" s="5">
        <v>300</v>
      </c>
      <c r="AA868" s="3">
        <v>145</v>
      </c>
      <c r="AB868" s="5">
        <v>43500</v>
      </c>
      <c r="AC868">
        <v>300</v>
      </c>
      <c r="AD868">
        <v>145</v>
      </c>
      <c r="AE868" s="1">
        <v>43500</v>
      </c>
      <c r="AF868">
        <v>0</v>
      </c>
      <c r="AJ868">
        <v>0</v>
      </c>
      <c r="AK868">
        <v>0</v>
      </c>
      <c r="AL868">
        <v>0</v>
      </c>
      <c r="AM868">
        <v>0</v>
      </c>
      <c r="AN868">
        <v>0</v>
      </c>
      <c r="AO868">
        <v>0</v>
      </c>
      <c r="AP868" s="2">
        <v>42831</v>
      </c>
      <c r="AQ868" t="s">
        <v>72</v>
      </c>
      <c r="AR868" t="s">
        <v>72</v>
      </c>
      <c r="AS868">
        <v>371</v>
      </c>
      <c r="AT868" s="4">
        <v>42775</v>
      </c>
      <c r="AU868" t="s">
        <v>73</v>
      </c>
      <c r="AV868">
        <v>371</v>
      </c>
      <c r="AW868" s="4">
        <v>42775</v>
      </c>
      <c r="BD868">
        <v>0</v>
      </c>
      <c r="BN868" t="s">
        <v>74</v>
      </c>
    </row>
    <row r="869" spans="1:66">
      <c r="A869">
        <v>101130</v>
      </c>
      <c r="B869" t="s">
        <v>239</v>
      </c>
      <c r="C869" s="1">
        <v>43300101</v>
      </c>
      <c r="D869" t="s">
        <v>67</v>
      </c>
      <c r="H869" t="str">
        <f t="shared" ref="H869:I888" si="113">"09238800156"</f>
        <v>09238800156</v>
      </c>
      <c r="I869" t="str">
        <f t="shared" si="113"/>
        <v>09238800156</v>
      </c>
      <c r="K869" t="str">
        <f>""</f>
        <v/>
      </c>
      <c r="M869" t="s">
        <v>68</v>
      </c>
      <c r="N869" t="str">
        <f t="shared" si="110"/>
        <v>FOR</v>
      </c>
      <c r="O869" t="s">
        <v>69</v>
      </c>
      <c r="P869" t="s">
        <v>75</v>
      </c>
      <c r="Q869">
        <v>2016</v>
      </c>
      <c r="R869" s="4">
        <v>42571</v>
      </c>
      <c r="S869" s="2">
        <v>42577</v>
      </c>
      <c r="T869" s="2">
        <v>42571</v>
      </c>
      <c r="U869" s="4">
        <v>42631</v>
      </c>
      <c r="V869" t="s">
        <v>71</v>
      </c>
      <c r="W869" t="str">
        <f>"          1023913619"</f>
        <v xml:space="preserve">          1023913619</v>
      </c>
      <c r="X869">
        <v>506.3</v>
      </c>
      <c r="Y869">
        <v>0</v>
      </c>
      <c r="Z869" s="5">
        <v>415</v>
      </c>
      <c r="AA869" s="3">
        <v>144</v>
      </c>
      <c r="AB869" s="5">
        <v>59760</v>
      </c>
      <c r="AC869">
        <v>415</v>
      </c>
      <c r="AD869">
        <v>144</v>
      </c>
      <c r="AE869" s="1">
        <v>59760</v>
      </c>
      <c r="AF869">
        <v>0</v>
      </c>
      <c r="AJ869">
        <v>0</v>
      </c>
      <c r="AK869">
        <v>0</v>
      </c>
      <c r="AL869">
        <v>0</v>
      </c>
      <c r="AM869">
        <v>0</v>
      </c>
      <c r="AN869">
        <v>0</v>
      </c>
      <c r="AO869">
        <v>0</v>
      </c>
      <c r="AP869" s="2">
        <v>42831</v>
      </c>
      <c r="AQ869" t="s">
        <v>72</v>
      </c>
      <c r="AR869" t="s">
        <v>72</v>
      </c>
      <c r="AS869">
        <v>371</v>
      </c>
      <c r="AT869" s="4">
        <v>42775</v>
      </c>
      <c r="AU869" t="s">
        <v>73</v>
      </c>
      <c r="AV869">
        <v>371</v>
      </c>
      <c r="AW869" s="4">
        <v>42775</v>
      </c>
      <c r="BD869">
        <v>0</v>
      </c>
      <c r="BN869" t="s">
        <v>74</v>
      </c>
    </row>
    <row r="870" spans="1:66">
      <c r="A870">
        <v>101130</v>
      </c>
      <c r="B870" t="s">
        <v>239</v>
      </c>
      <c r="C870" s="1">
        <v>43300101</v>
      </c>
      <c r="D870" t="s">
        <v>67</v>
      </c>
      <c r="H870" t="str">
        <f t="shared" si="113"/>
        <v>09238800156</v>
      </c>
      <c r="I870" t="str">
        <f t="shared" si="113"/>
        <v>09238800156</v>
      </c>
      <c r="K870" t="str">
        <f>""</f>
        <v/>
      </c>
      <c r="M870" t="s">
        <v>68</v>
      </c>
      <c r="N870" t="str">
        <f t="shared" ref="N870:N906" si="114">"FOR"</f>
        <v>FOR</v>
      </c>
      <c r="O870" t="s">
        <v>69</v>
      </c>
      <c r="P870" t="s">
        <v>75</v>
      </c>
      <c r="Q870">
        <v>2016</v>
      </c>
      <c r="R870" s="4">
        <v>42573</v>
      </c>
      <c r="S870" s="2">
        <v>42577</v>
      </c>
      <c r="T870" s="2">
        <v>42573</v>
      </c>
      <c r="U870" s="4">
        <v>42633</v>
      </c>
      <c r="V870" t="s">
        <v>71</v>
      </c>
      <c r="W870" t="str">
        <f>"          1023916532"</f>
        <v xml:space="preserve">          1023916532</v>
      </c>
      <c r="X870" s="1">
        <v>1698.24</v>
      </c>
      <c r="Y870">
        <v>0</v>
      </c>
      <c r="Z870" s="5">
        <v>1392</v>
      </c>
      <c r="AA870" s="3">
        <v>142</v>
      </c>
      <c r="AB870" s="5">
        <v>197664</v>
      </c>
      <c r="AC870" s="1">
        <v>1392</v>
      </c>
      <c r="AD870">
        <v>142</v>
      </c>
      <c r="AE870" s="1">
        <v>197664</v>
      </c>
      <c r="AF870">
        <v>0</v>
      </c>
      <c r="AJ870">
        <v>0</v>
      </c>
      <c r="AK870">
        <v>0</v>
      </c>
      <c r="AL870">
        <v>0</v>
      </c>
      <c r="AM870">
        <v>0</v>
      </c>
      <c r="AN870">
        <v>0</v>
      </c>
      <c r="AO870">
        <v>0</v>
      </c>
      <c r="AP870" s="2">
        <v>42831</v>
      </c>
      <c r="AQ870" t="s">
        <v>72</v>
      </c>
      <c r="AR870" t="s">
        <v>72</v>
      </c>
      <c r="AS870">
        <v>371</v>
      </c>
      <c r="AT870" s="4">
        <v>42775</v>
      </c>
      <c r="AU870" t="s">
        <v>73</v>
      </c>
      <c r="AV870">
        <v>371</v>
      </c>
      <c r="AW870" s="4">
        <v>42775</v>
      </c>
      <c r="BD870">
        <v>0</v>
      </c>
      <c r="BN870" t="s">
        <v>74</v>
      </c>
    </row>
    <row r="871" spans="1:66">
      <c r="A871">
        <v>101130</v>
      </c>
      <c r="B871" t="s">
        <v>239</v>
      </c>
      <c r="C871" s="1">
        <v>43300101</v>
      </c>
      <c r="D871" t="s">
        <v>67</v>
      </c>
      <c r="H871" t="str">
        <f t="shared" si="113"/>
        <v>09238800156</v>
      </c>
      <c r="I871" t="str">
        <f t="shared" si="113"/>
        <v>09238800156</v>
      </c>
      <c r="K871" t="str">
        <f>""</f>
        <v/>
      </c>
      <c r="M871" t="s">
        <v>68</v>
      </c>
      <c r="N871" t="str">
        <f t="shared" si="114"/>
        <v>FOR</v>
      </c>
      <c r="O871" t="s">
        <v>69</v>
      </c>
      <c r="P871" t="s">
        <v>75</v>
      </c>
      <c r="Q871">
        <v>2016</v>
      </c>
      <c r="R871" s="4">
        <v>42576</v>
      </c>
      <c r="S871" s="2">
        <v>42577</v>
      </c>
      <c r="T871" s="2">
        <v>42576</v>
      </c>
      <c r="U871" s="4">
        <v>42636</v>
      </c>
      <c r="V871" t="s">
        <v>71</v>
      </c>
      <c r="W871" t="str">
        <f>"          1023918019"</f>
        <v xml:space="preserve">          1023918019</v>
      </c>
      <c r="X871">
        <v>447.2</v>
      </c>
      <c r="Y871">
        <v>0</v>
      </c>
      <c r="Z871" s="5">
        <v>430</v>
      </c>
      <c r="AA871" s="3">
        <v>139</v>
      </c>
      <c r="AB871" s="5">
        <v>59770</v>
      </c>
      <c r="AC871">
        <v>430</v>
      </c>
      <c r="AD871">
        <v>139</v>
      </c>
      <c r="AE871" s="1">
        <v>59770</v>
      </c>
      <c r="AF871">
        <v>0</v>
      </c>
      <c r="AJ871">
        <v>0</v>
      </c>
      <c r="AK871">
        <v>0</v>
      </c>
      <c r="AL871">
        <v>0</v>
      </c>
      <c r="AM871">
        <v>0</v>
      </c>
      <c r="AN871">
        <v>0</v>
      </c>
      <c r="AO871">
        <v>0</v>
      </c>
      <c r="AP871" s="2">
        <v>42831</v>
      </c>
      <c r="AQ871" t="s">
        <v>72</v>
      </c>
      <c r="AR871" t="s">
        <v>72</v>
      </c>
      <c r="AS871">
        <v>371</v>
      </c>
      <c r="AT871" s="4">
        <v>42775</v>
      </c>
      <c r="AU871" t="s">
        <v>73</v>
      </c>
      <c r="AV871">
        <v>371</v>
      </c>
      <c r="AW871" s="4">
        <v>42775</v>
      </c>
      <c r="BD871">
        <v>0</v>
      </c>
      <c r="BN871" t="s">
        <v>74</v>
      </c>
    </row>
    <row r="872" spans="1:66">
      <c r="A872">
        <v>101130</v>
      </c>
      <c r="B872" t="s">
        <v>239</v>
      </c>
      <c r="C872" s="1">
        <v>43300101</v>
      </c>
      <c r="D872" t="s">
        <v>67</v>
      </c>
      <c r="H872" t="str">
        <f t="shared" si="113"/>
        <v>09238800156</v>
      </c>
      <c r="I872" t="str">
        <f t="shared" si="113"/>
        <v>09238800156</v>
      </c>
      <c r="K872" t="str">
        <f>""</f>
        <v/>
      </c>
      <c r="M872" t="s">
        <v>68</v>
      </c>
      <c r="N872" t="str">
        <f t="shared" si="114"/>
        <v>FOR</v>
      </c>
      <c r="O872" t="s">
        <v>69</v>
      </c>
      <c r="P872" t="s">
        <v>75</v>
      </c>
      <c r="Q872">
        <v>2016</v>
      </c>
      <c r="R872" s="4">
        <v>42576</v>
      </c>
      <c r="S872" s="2">
        <v>42577</v>
      </c>
      <c r="T872" s="2">
        <v>42576</v>
      </c>
      <c r="U872" s="4">
        <v>42636</v>
      </c>
      <c r="V872" t="s">
        <v>71</v>
      </c>
      <c r="W872" t="str">
        <f>"          1023918020"</f>
        <v xml:space="preserve">          1023918020</v>
      </c>
      <c r="X872">
        <v>447.2</v>
      </c>
      <c r="Y872">
        <v>0</v>
      </c>
      <c r="Z872" s="5">
        <v>430</v>
      </c>
      <c r="AA872" s="3">
        <v>139</v>
      </c>
      <c r="AB872" s="5">
        <v>59770</v>
      </c>
      <c r="AC872">
        <v>430</v>
      </c>
      <c r="AD872">
        <v>139</v>
      </c>
      <c r="AE872" s="1">
        <v>59770</v>
      </c>
      <c r="AF872">
        <v>0</v>
      </c>
      <c r="AJ872">
        <v>0</v>
      </c>
      <c r="AK872">
        <v>0</v>
      </c>
      <c r="AL872">
        <v>0</v>
      </c>
      <c r="AM872">
        <v>0</v>
      </c>
      <c r="AN872">
        <v>0</v>
      </c>
      <c r="AO872">
        <v>0</v>
      </c>
      <c r="AP872" s="2">
        <v>42831</v>
      </c>
      <c r="AQ872" t="s">
        <v>72</v>
      </c>
      <c r="AR872" t="s">
        <v>72</v>
      </c>
      <c r="AS872">
        <v>371</v>
      </c>
      <c r="AT872" s="4">
        <v>42775</v>
      </c>
      <c r="AU872" t="s">
        <v>73</v>
      </c>
      <c r="AV872">
        <v>371</v>
      </c>
      <c r="AW872" s="4">
        <v>42775</v>
      </c>
      <c r="BD872">
        <v>0</v>
      </c>
      <c r="BN872" t="s">
        <v>74</v>
      </c>
    </row>
    <row r="873" spans="1:66">
      <c r="A873">
        <v>101130</v>
      </c>
      <c r="B873" t="s">
        <v>239</v>
      </c>
      <c r="C873" s="1">
        <v>43300101</v>
      </c>
      <c r="D873" t="s">
        <v>67</v>
      </c>
      <c r="H873" t="str">
        <f t="shared" si="113"/>
        <v>09238800156</v>
      </c>
      <c r="I873" t="str">
        <f t="shared" si="113"/>
        <v>09238800156</v>
      </c>
      <c r="K873" t="str">
        <f>""</f>
        <v/>
      </c>
      <c r="M873" t="s">
        <v>68</v>
      </c>
      <c r="N873" t="str">
        <f t="shared" si="114"/>
        <v>FOR</v>
      </c>
      <c r="O873" t="s">
        <v>69</v>
      </c>
      <c r="P873" t="s">
        <v>75</v>
      </c>
      <c r="Q873">
        <v>2016</v>
      </c>
      <c r="R873" s="4">
        <v>42576</v>
      </c>
      <c r="S873" s="2">
        <v>42577</v>
      </c>
      <c r="T873" s="2">
        <v>42576</v>
      </c>
      <c r="U873" s="4">
        <v>42636</v>
      </c>
      <c r="V873" t="s">
        <v>71</v>
      </c>
      <c r="W873" t="str">
        <f>"          1023918021"</f>
        <v xml:space="preserve">          1023918021</v>
      </c>
      <c r="X873">
        <v>447.2</v>
      </c>
      <c r="Y873">
        <v>0</v>
      </c>
      <c r="Z873" s="5">
        <v>430</v>
      </c>
      <c r="AA873" s="3">
        <v>139</v>
      </c>
      <c r="AB873" s="5">
        <v>59770</v>
      </c>
      <c r="AC873">
        <v>430</v>
      </c>
      <c r="AD873">
        <v>139</v>
      </c>
      <c r="AE873" s="1">
        <v>59770</v>
      </c>
      <c r="AF873">
        <v>0</v>
      </c>
      <c r="AJ873">
        <v>0</v>
      </c>
      <c r="AK873">
        <v>0</v>
      </c>
      <c r="AL873">
        <v>0</v>
      </c>
      <c r="AM873">
        <v>0</v>
      </c>
      <c r="AN873">
        <v>0</v>
      </c>
      <c r="AO873">
        <v>0</v>
      </c>
      <c r="AP873" s="2">
        <v>42831</v>
      </c>
      <c r="AQ873" t="s">
        <v>72</v>
      </c>
      <c r="AR873" t="s">
        <v>72</v>
      </c>
      <c r="AS873">
        <v>371</v>
      </c>
      <c r="AT873" s="4">
        <v>42775</v>
      </c>
      <c r="AU873" t="s">
        <v>73</v>
      </c>
      <c r="AV873">
        <v>371</v>
      </c>
      <c r="AW873" s="4">
        <v>42775</v>
      </c>
      <c r="BD873">
        <v>0</v>
      </c>
      <c r="BN873" t="s">
        <v>74</v>
      </c>
    </row>
    <row r="874" spans="1:66">
      <c r="A874">
        <v>101130</v>
      </c>
      <c r="B874" t="s">
        <v>239</v>
      </c>
      <c r="C874" s="1">
        <v>43300101</v>
      </c>
      <c r="D874" t="s">
        <v>67</v>
      </c>
      <c r="H874" t="str">
        <f t="shared" si="113"/>
        <v>09238800156</v>
      </c>
      <c r="I874" t="str">
        <f t="shared" si="113"/>
        <v>09238800156</v>
      </c>
      <c r="K874" t="str">
        <f>""</f>
        <v/>
      </c>
      <c r="M874" t="s">
        <v>68</v>
      </c>
      <c r="N874" t="str">
        <f t="shared" si="114"/>
        <v>FOR</v>
      </c>
      <c r="O874" t="s">
        <v>69</v>
      </c>
      <c r="P874" t="s">
        <v>75</v>
      </c>
      <c r="Q874">
        <v>2016</v>
      </c>
      <c r="R874" s="4">
        <v>42576</v>
      </c>
      <c r="S874" s="2">
        <v>42577</v>
      </c>
      <c r="T874" s="2">
        <v>42576</v>
      </c>
      <c r="U874" s="4">
        <v>42636</v>
      </c>
      <c r="V874" t="s">
        <v>71</v>
      </c>
      <c r="W874" t="str">
        <f>"          1023918022"</f>
        <v xml:space="preserve">          1023918022</v>
      </c>
      <c r="X874">
        <v>447.2</v>
      </c>
      <c r="Y874">
        <v>0</v>
      </c>
      <c r="Z874" s="5">
        <v>430</v>
      </c>
      <c r="AA874" s="3">
        <v>139</v>
      </c>
      <c r="AB874" s="5">
        <v>59770</v>
      </c>
      <c r="AC874">
        <v>430</v>
      </c>
      <c r="AD874">
        <v>139</v>
      </c>
      <c r="AE874" s="1">
        <v>59770</v>
      </c>
      <c r="AF874">
        <v>0</v>
      </c>
      <c r="AJ874">
        <v>0</v>
      </c>
      <c r="AK874">
        <v>0</v>
      </c>
      <c r="AL874">
        <v>0</v>
      </c>
      <c r="AM874">
        <v>0</v>
      </c>
      <c r="AN874">
        <v>0</v>
      </c>
      <c r="AO874">
        <v>0</v>
      </c>
      <c r="AP874" s="2">
        <v>42831</v>
      </c>
      <c r="AQ874" t="s">
        <v>72</v>
      </c>
      <c r="AR874" t="s">
        <v>72</v>
      </c>
      <c r="AS874">
        <v>371</v>
      </c>
      <c r="AT874" s="4">
        <v>42775</v>
      </c>
      <c r="AU874" t="s">
        <v>73</v>
      </c>
      <c r="AV874">
        <v>371</v>
      </c>
      <c r="AW874" s="4">
        <v>42775</v>
      </c>
      <c r="BD874">
        <v>0</v>
      </c>
      <c r="BN874" t="s">
        <v>74</v>
      </c>
    </row>
    <row r="875" spans="1:66">
      <c r="A875">
        <v>101130</v>
      </c>
      <c r="B875" t="s">
        <v>239</v>
      </c>
      <c r="C875" s="1">
        <v>43300101</v>
      </c>
      <c r="D875" t="s">
        <v>67</v>
      </c>
      <c r="H875" t="str">
        <f t="shared" si="113"/>
        <v>09238800156</v>
      </c>
      <c r="I875" t="str">
        <f t="shared" si="113"/>
        <v>09238800156</v>
      </c>
      <c r="K875" t="str">
        <f>""</f>
        <v/>
      </c>
      <c r="M875" t="s">
        <v>68</v>
      </c>
      <c r="N875" t="str">
        <f t="shared" si="114"/>
        <v>FOR</v>
      </c>
      <c r="O875" t="s">
        <v>69</v>
      </c>
      <c r="P875" t="s">
        <v>75</v>
      </c>
      <c r="Q875">
        <v>2016</v>
      </c>
      <c r="R875" s="4">
        <v>42576</v>
      </c>
      <c r="S875" s="2">
        <v>42577</v>
      </c>
      <c r="T875" s="2">
        <v>42576</v>
      </c>
      <c r="U875" s="4">
        <v>42636</v>
      </c>
      <c r="V875" t="s">
        <v>71</v>
      </c>
      <c r="W875" t="str">
        <f>"          1023918023"</f>
        <v xml:space="preserve">          1023918023</v>
      </c>
      <c r="X875">
        <v>183</v>
      </c>
      <c r="Y875">
        <v>0</v>
      </c>
      <c r="Z875" s="5">
        <v>150</v>
      </c>
      <c r="AA875" s="3">
        <v>139</v>
      </c>
      <c r="AB875" s="5">
        <v>20850</v>
      </c>
      <c r="AC875">
        <v>150</v>
      </c>
      <c r="AD875">
        <v>139</v>
      </c>
      <c r="AE875" s="1">
        <v>20850</v>
      </c>
      <c r="AF875">
        <v>0</v>
      </c>
      <c r="AJ875">
        <v>0</v>
      </c>
      <c r="AK875">
        <v>0</v>
      </c>
      <c r="AL875">
        <v>0</v>
      </c>
      <c r="AM875">
        <v>0</v>
      </c>
      <c r="AN875">
        <v>0</v>
      </c>
      <c r="AO875">
        <v>0</v>
      </c>
      <c r="AP875" s="2">
        <v>42831</v>
      </c>
      <c r="AQ875" t="s">
        <v>72</v>
      </c>
      <c r="AR875" t="s">
        <v>72</v>
      </c>
      <c r="AS875">
        <v>371</v>
      </c>
      <c r="AT875" s="4">
        <v>42775</v>
      </c>
      <c r="AU875" t="s">
        <v>73</v>
      </c>
      <c r="AV875">
        <v>371</v>
      </c>
      <c r="AW875" s="4">
        <v>42775</v>
      </c>
      <c r="BD875">
        <v>0</v>
      </c>
      <c r="BN875" t="s">
        <v>74</v>
      </c>
    </row>
    <row r="876" spans="1:66">
      <c r="A876">
        <v>101130</v>
      </c>
      <c r="B876" t="s">
        <v>239</v>
      </c>
      <c r="C876" s="1">
        <v>43300101</v>
      </c>
      <c r="D876" t="s">
        <v>67</v>
      </c>
      <c r="H876" t="str">
        <f t="shared" si="113"/>
        <v>09238800156</v>
      </c>
      <c r="I876" t="str">
        <f t="shared" si="113"/>
        <v>09238800156</v>
      </c>
      <c r="K876" t="str">
        <f>""</f>
        <v/>
      </c>
      <c r="M876" t="s">
        <v>68</v>
      </c>
      <c r="N876" t="str">
        <f t="shared" si="114"/>
        <v>FOR</v>
      </c>
      <c r="O876" t="s">
        <v>69</v>
      </c>
      <c r="P876" t="s">
        <v>75</v>
      </c>
      <c r="Q876">
        <v>2016</v>
      </c>
      <c r="R876" s="4">
        <v>42576</v>
      </c>
      <c r="S876" s="2">
        <v>42577</v>
      </c>
      <c r="T876" s="2">
        <v>42576</v>
      </c>
      <c r="U876" s="4">
        <v>42636</v>
      </c>
      <c r="V876" t="s">
        <v>71</v>
      </c>
      <c r="W876" t="str">
        <f>"          1023918024"</f>
        <v xml:space="preserve">          1023918024</v>
      </c>
      <c r="X876" s="1">
        <v>4666.5</v>
      </c>
      <c r="Y876">
        <v>0</v>
      </c>
      <c r="Z876" s="5">
        <v>3825</v>
      </c>
      <c r="AA876" s="3">
        <v>139</v>
      </c>
      <c r="AB876" s="5">
        <v>531675</v>
      </c>
      <c r="AC876" s="1">
        <v>3825</v>
      </c>
      <c r="AD876">
        <v>139</v>
      </c>
      <c r="AE876" s="1">
        <v>531675</v>
      </c>
      <c r="AF876">
        <v>0</v>
      </c>
      <c r="AJ876">
        <v>0</v>
      </c>
      <c r="AK876">
        <v>0</v>
      </c>
      <c r="AL876">
        <v>0</v>
      </c>
      <c r="AM876">
        <v>0</v>
      </c>
      <c r="AN876">
        <v>0</v>
      </c>
      <c r="AO876">
        <v>0</v>
      </c>
      <c r="AP876" s="2">
        <v>42831</v>
      </c>
      <c r="AQ876" t="s">
        <v>72</v>
      </c>
      <c r="AR876" t="s">
        <v>72</v>
      </c>
      <c r="AS876">
        <v>371</v>
      </c>
      <c r="AT876" s="4">
        <v>42775</v>
      </c>
      <c r="AU876" t="s">
        <v>73</v>
      </c>
      <c r="AV876">
        <v>371</v>
      </c>
      <c r="AW876" s="4">
        <v>42775</v>
      </c>
      <c r="BD876">
        <v>0</v>
      </c>
      <c r="BN876" t="s">
        <v>74</v>
      </c>
    </row>
    <row r="877" spans="1:66">
      <c r="A877">
        <v>101130</v>
      </c>
      <c r="B877" t="s">
        <v>239</v>
      </c>
      <c r="C877" s="1">
        <v>43300101</v>
      </c>
      <c r="D877" t="s">
        <v>67</v>
      </c>
      <c r="H877" t="str">
        <f t="shared" si="113"/>
        <v>09238800156</v>
      </c>
      <c r="I877" t="str">
        <f t="shared" si="113"/>
        <v>09238800156</v>
      </c>
      <c r="K877" t="str">
        <f>""</f>
        <v/>
      </c>
      <c r="M877" t="s">
        <v>68</v>
      </c>
      <c r="N877" t="str">
        <f t="shared" si="114"/>
        <v>FOR</v>
      </c>
      <c r="O877" t="s">
        <v>69</v>
      </c>
      <c r="P877" t="s">
        <v>75</v>
      </c>
      <c r="Q877">
        <v>2016</v>
      </c>
      <c r="R877" s="4">
        <v>42576</v>
      </c>
      <c r="S877" s="2">
        <v>42577</v>
      </c>
      <c r="T877" s="2">
        <v>42576</v>
      </c>
      <c r="U877" s="4">
        <v>42636</v>
      </c>
      <c r="V877" t="s">
        <v>71</v>
      </c>
      <c r="W877" t="str">
        <f>"          1023918025"</f>
        <v xml:space="preserve">          1023918025</v>
      </c>
      <c r="X877" s="1">
        <v>3477</v>
      </c>
      <c r="Y877">
        <v>0</v>
      </c>
      <c r="Z877" s="5">
        <v>2850</v>
      </c>
      <c r="AA877" s="3">
        <v>139</v>
      </c>
      <c r="AB877" s="5">
        <v>396150</v>
      </c>
      <c r="AC877" s="1">
        <v>2850</v>
      </c>
      <c r="AD877">
        <v>139</v>
      </c>
      <c r="AE877" s="1">
        <v>396150</v>
      </c>
      <c r="AF877">
        <v>0</v>
      </c>
      <c r="AJ877">
        <v>0</v>
      </c>
      <c r="AK877">
        <v>0</v>
      </c>
      <c r="AL877">
        <v>0</v>
      </c>
      <c r="AM877">
        <v>0</v>
      </c>
      <c r="AN877">
        <v>0</v>
      </c>
      <c r="AO877">
        <v>0</v>
      </c>
      <c r="AP877" s="2">
        <v>42831</v>
      </c>
      <c r="AQ877" t="s">
        <v>72</v>
      </c>
      <c r="AR877" t="s">
        <v>72</v>
      </c>
      <c r="AS877">
        <v>371</v>
      </c>
      <c r="AT877" s="4">
        <v>42775</v>
      </c>
      <c r="AU877" t="s">
        <v>73</v>
      </c>
      <c r="AV877">
        <v>371</v>
      </c>
      <c r="AW877" s="4">
        <v>42775</v>
      </c>
      <c r="BD877">
        <v>0</v>
      </c>
      <c r="BN877" t="s">
        <v>74</v>
      </c>
    </row>
    <row r="878" spans="1:66">
      <c r="A878">
        <v>101130</v>
      </c>
      <c r="B878" t="s">
        <v>239</v>
      </c>
      <c r="C878" s="1">
        <v>43300101</v>
      </c>
      <c r="D878" t="s">
        <v>67</v>
      </c>
      <c r="H878" t="str">
        <f t="shared" si="113"/>
        <v>09238800156</v>
      </c>
      <c r="I878" t="str">
        <f t="shared" si="113"/>
        <v>09238800156</v>
      </c>
      <c r="K878" t="str">
        <f>""</f>
        <v/>
      </c>
      <c r="M878" t="s">
        <v>68</v>
      </c>
      <c r="N878" t="str">
        <f t="shared" si="114"/>
        <v>FOR</v>
      </c>
      <c r="O878" t="s">
        <v>69</v>
      </c>
      <c r="P878" t="s">
        <v>75</v>
      </c>
      <c r="Q878">
        <v>2016</v>
      </c>
      <c r="R878" s="4">
        <v>42576</v>
      </c>
      <c r="S878" s="2">
        <v>42577</v>
      </c>
      <c r="T878" s="2">
        <v>42576</v>
      </c>
      <c r="U878" s="4">
        <v>42636</v>
      </c>
      <c r="V878" t="s">
        <v>71</v>
      </c>
      <c r="W878" t="str">
        <f>"          1023918026"</f>
        <v xml:space="preserve">          1023918026</v>
      </c>
      <c r="X878">
        <v>447.2</v>
      </c>
      <c r="Y878">
        <v>0</v>
      </c>
      <c r="Z878" s="5">
        <v>430</v>
      </c>
      <c r="AA878" s="3">
        <v>139</v>
      </c>
      <c r="AB878" s="5">
        <v>59770</v>
      </c>
      <c r="AC878">
        <v>430</v>
      </c>
      <c r="AD878">
        <v>139</v>
      </c>
      <c r="AE878" s="1">
        <v>59770</v>
      </c>
      <c r="AF878">
        <v>0</v>
      </c>
      <c r="AJ878">
        <v>0</v>
      </c>
      <c r="AK878">
        <v>0</v>
      </c>
      <c r="AL878">
        <v>0</v>
      </c>
      <c r="AM878">
        <v>0</v>
      </c>
      <c r="AN878">
        <v>0</v>
      </c>
      <c r="AO878">
        <v>0</v>
      </c>
      <c r="AP878" s="2">
        <v>42831</v>
      </c>
      <c r="AQ878" t="s">
        <v>72</v>
      </c>
      <c r="AR878" t="s">
        <v>72</v>
      </c>
      <c r="AS878">
        <v>371</v>
      </c>
      <c r="AT878" s="4">
        <v>42775</v>
      </c>
      <c r="AU878" t="s">
        <v>73</v>
      </c>
      <c r="AV878">
        <v>371</v>
      </c>
      <c r="AW878" s="4">
        <v>42775</v>
      </c>
      <c r="BD878">
        <v>0</v>
      </c>
      <c r="BN878" t="s">
        <v>74</v>
      </c>
    </row>
    <row r="879" spans="1:66">
      <c r="A879">
        <v>101130</v>
      </c>
      <c r="B879" t="s">
        <v>239</v>
      </c>
      <c r="C879" s="1">
        <v>43300101</v>
      </c>
      <c r="D879" t="s">
        <v>67</v>
      </c>
      <c r="H879" t="str">
        <f t="shared" si="113"/>
        <v>09238800156</v>
      </c>
      <c r="I879" t="str">
        <f t="shared" si="113"/>
        <v>09238800156</v>
      </c>
      <c r="K879" t="str">
        <f>""</f>
        <v/>
      </c>
      <c r="M879" t="s">
        <v>68</v>
      </c>
      <c r="N879" t="str">
        <f t="shared" si="114"/>
        <v>FOR</v>
      </c>
      <c r="O879" t="s">
        <v>69</v>
      </c>
      <c r="P879" t="s">
        <v>75</v>
      </c>
      <c r="Q879">
        <v>2016</v>
      </c>
      <c r="R879" s="4">
        <v>42577</v>
      </c>
      <c r="S879" s="2">
        <v>42583</v>
      </c>
      <c r="T879" s="2">
        <v>42577</v>
      </c>
      <c r="U879" s="4">
        <v>42637</v>
      </c>
      <c r="V879" t="s">
        <v>71</v>
      </c>
      <c r="W879" t="str">
        <f>"          1023919959"</f>
        <v xml:space="preserve">          1023919959</v>
      </c>
      <c r="X879" s="1">
        <v>3111</v>
      </c>
      <c r="Y879">
        <v>0</v>
      </c>
      <c r="Z879" s="5">
        <v>2550</v>
      </c>
      <c r="AA879" s="3">
        <v>138</v>
      </c>
      <c r="AB879" s="5">
        <v>351900</v>
      </c>
      <c r="AC879" s="1">
        <v>2550</v>
      </c>
      <c r="AD879">
        <v>138</v>
      </c>
      <c r="AE879" s="1">
        <v>351900</v>
      </c>
      <c r="AF879">
        <v>0</v>
      </c>
      <c r="AJ879">
        <v>0</v>
      </c>
      <c r="AK879">
        <v>0</v>
      </c>
      <c r="AL879">
        <v>0</v>
      </c>
      <c r="AM879">
        <v>0</v>
      </c>
      <c r="AN879">
        <v>0</v>
      </c>
      <c r="AO879">
        <v>0</v>
      </c>
      <c r="AP879" s="2">
        <v>42831</v>
      </c>
      <c r="AQ879" t="s">
        <v>72</v>
      </c>
      <c r="AR879" t="s">
        <v>72</v>
      </c>
      <c r="AS879">
        <v>371</v>
      </c>
      <c r="AT879" s="4">
        <v>42775</v>
      </c>
      <c r="AU879" t="s">
        <v>73</v>
      </c>
      <c r="AV879">
        <v>371</v>
      </c>
      <c r="AW879" s="4">
        <v>42775</v>
      </c>
      <c r="BD879">
        <v>0</v>
      </c>
      <c r="BN879" t="s">
        <v>74</v>
      </c>
    </row>
    <row r="880" spans="1:66">
      <c r="A880">
        <v>101130</v>
      </c>
      <c r="B880" t="s">
        <v>239</v>
      </c>
      <c r="C880" s="1">
        <v>43300101</v>
      </c>
      <c r="D880" t="s">
        <v>67</v>
      </c>
      <c r="H880" t="str">
        <f t="shared" si="113"/>
        <v>09238800156</v>
      </c>
      <c r="I880" t="str">
        <f t="shared" si="113"/>
        <v>09238800156</v>
      </c>
      <c r="K880" t="str">
        <f>""</f>
        <v/>
      </c>
      <c r="M880" t="s">
        <v>68</v>
      </c>
      <c r="N880" t="str">
        <f t="shared" si="114"/>
        <v>FOR</v>
      </c>
      <c r="O880" t="s">
        <v>69</v>
      </c>
      <c r="P880" t="s">
        <v>75</v>
      </c>
      <c r="Q880">
        <v>2016</v>
      </c>
      <c r="R880" s="4">
        <v>42578</v>
      </c>
      <c r="S880" s="2">
        <v>42583</v>
      </c>
      <c r="T880" s="2">
        <v>42579</v>
      </c>
      <c r="U880" s="4">
        <v>42639</v>
      </c>
      <c r="V880" t="s">
        <v>71</v>
      </c>
      <c r="W880" t="str">
        <f>"          1023922120"</f>
        <v xml:space="preserve">          1023922120</v>
      </c>
      <c r="X880">
        <v>422.12</v>
      </c>
      <c r="Y880">
        <v>0</v>
      </c>
      <c r="Z880" s="5">
        <v>346</v>
      </c>
      <c r="AA880" s="3">
        <v>136</v>
      </c>
      <c r="AB880" s="5">
        <v>47056</v>
      </c>
      <c r="AC880">
        <v>346</v>
      </c>
      <c r="AD880">
        <v>136</v>
      </c>
      <c r="AE880" s="1">
        <v>47056</v>
      </c>
      <c r="AF880">
        <v>0</v>
      </c>
      <c r="AJ880">
        <v>0</v>
      </c>
      <c r="AK880">
        <v>0</v>
      </c>
      <c r="AL880">
        <v>0</v>
      </c>
      <c r="AM880">
        <v>0</v>
      </c>
      <c r="AN880">
        <v>0</v>
      </c>
      <c r="AO880">
        <v>0</v>
      </c>
      <c r="AP880" s="2">
        <v>42831</v>
      </c>
      <c r="AQ880" t="s">
        <v>72</v>
      </c>
      <c r="AR880" t="s">
        <v>72</v>
      </c>
      <c r="AS880">
        <v>371</v>
      </c>
      <c r="AT880" s="4">
        <v>42775</v>
      </c>
      <c r="AU880" t="s">
        <v>73</v>
      </c>
      <c r="AV880">
        <v>371</v>
      </c>
      <c r="AW880" s="4">
        <v>42775</v>
      </c>
      <c r="BD880">
        <v>0</v>
      </c>
      <c r="BN880" t="s">
        <v>74</v>
      </c>
    </row>
    <row r="881" spans="1:66">
      <c r="A881">
        <v>101130</v>
      </c>
      <c r="B881" t="s">
        <v>239</v>
      </c>
      <c r="C881" s="1">
        <v>43300101</v>
      </c>
      <c r="D881" t="s">
        <v>67</v>
      </c>
      <c r="H881" t="str">
        <f t="shared" si="113"/>
        <v>09238800156</v>
      </c>
      <c r="I881" t="str">
        <f t="shared" si="113"/>
        <v>09238800156</v>
      </c>
      <c r="K881" t="str">
        <f>""</f>
        <v/>
      </c>
      <c r="M881" t="s">
        <v>68</v>
      </c>
      <c r="N881" t="str">
        <f t="shared" si="114"/>
        <v>FOR</v>
      </c>
      <c r="O881" t="s">
        <v>69</v>
      </c>
      <c r="P881" t="s">
        <v>75</v>
      </c>
      <c r="Q881">
        <v>2016</v>
      </c>
      <c r="R881" s="4">
        <v>42578</v>
      </c>
      <c r="S881" s="2">
        <v>42583</v>
      </c>
      <c r="T881" s="2">
        <v>42579</v>
      </c>
      <c r="U881" s="4">
        <v>42639</v>
      </c>
      <c r="V881" t="s">
        <v>71</v>
      </c>
      <c r="W881" t="str">
        <f>"          1023922121"</f>
        <v xml:space="preserve">          1023922121</v>
      </c>
      <c r="X881">
        <v>816.91</v>
      </c>
      <c r="Y881">
        <v>0</v>
      </c>
      <c r="Z881" s="5">
        <v>669.6</v>
      </c>
      <c r="AA881" s="3">
        <v>136</v>
      </c>
      <c r="AB881" s="5">
        <v>91065.600000000006</v>
      </c>
      <c r="AC881">
        <v>669.6</v>
      </c>
      <c r="AD881">
        <v>136</v>
      </c>
      <c r="AE881" s="1">
        <v>91065.600000000006</v>
      </c>
      <c r="AF881">
        <v>0</v>
      </c>
      <c r="AJ881">
        <v>0</v>
      </c>
      <c r="AK881">
        <v>0</v>
      </c>
      <c r="AL881">
        <v>0</v>
      </c>
      <c r="AM881">
        <v>0</v>
      </c>
      <c r="AN881">
        <v>0</v>
      </c>
      <c r="AO881">
        <v>0</v>
      </c>
      <c r="AP881" s="2">
        <v>42831</v>
      </c>
      <c r="AQ881" t="s">
        <v>72</v>
      </c>
      <c r="AR881" t="s">
        <v>72</v>
      </c>
      <c r="AS881">
        <v>371</v>
      </c>
      <c r="AT881" s="4">
        <v>42775</v>
      </c>
      <c r="AU881" t="s">
        <v>73</v>
      </c>
      <c r="AV881">
        <v>371</v>
      </c>
      <c r="AW881" s="4">
        <v>42775</v>
      </c>
      <c r="BD881">
        <v>0</v>
      </c>
      <c r="BN881" t="s">
        <v>74</v>
      </c>
    </row>
    <row r="882" spans="1:66">
      <c r="A882">
        <v>101130</v>
      </c>
      <c r="B882" t="s">
        <v>239</v>
      </c>
      <c r="C882" s="1">
        <v>43300101</v>
      </c>
      <c r="D882" t="s">
        <v>67</v>
      </c>
      <c r="H882" t="str">
        <f t="shared" si="113"/>
        <v>09238800156</v>
      </c>
      <c r="I882" t="str">
        <f t="shared" si="113"/>
        <v>09238800156</v>
      </c>
      <c r="K882" t="str">
        <f>""</f>
        <v/>
      </c>
      <c r="M882" t="s">
        <v>68</v>
      </c>
      <c r="N882" t="str">
        <f t="shared" si="114"/>
        <v>FOR</v>
      </c>
      <c r="O882" t="s">
        <v>69</v>
      </c>
      <c r="P882" t="s">
        <v>75</v>
      </c>
      <c r="Q882">
        <v>2016</v>
      </c>
      <c r="R882" s="4">
        <v>42580</v>
      </c>
      <c r="S882" s="2">
        <v>42584</v>
      </c>
      <c r="T882" s="2">
        <v>42581</v>
      </c>
      <c r="U882" s="4">
        <v>42641</v>
      </c>
      <c r="V882" t="s">
        <v>71</v>
      </c>
      <c r="W882" t="str">
        <f>"          1023925317"</f>
        <v xml:space="preserve">          1023925317</v>
      </c>
      <c r="X882" s="1">
        <v>1267.53</v>
      </c>
      <c r="Y882">
        <v>0</v>
      </c>
      <c r="Z882" s="5">
        <v>1038.96</v>
      </c>
      <c r="AA882" s="3">
        <v>134</v>
      </c>
      <c r="AB882" s="5">
        <v>139220.64000000001</v>
      </c>
      <c r="AC882" s="1">
        <v>1038.96</v>
      </c>
      <c r="AD882">
        <v>134</v>
      </c>
      <c r="AE882" s="1">
        <v>139220.64000000001</v>
      </c>
      <c r="AF882">
        <v>0</v>
      </c>
      <c r="AJ882">
        <v>0</v>
      </c>
      <c r="AK882">
        <v>0</v>
      </c>
      <c r="AL882">
        <v>0</v>
      </c>
      <c r="AM882">
        <v>0</v>
      </c>
      <c r="AN882">
        <v>0</v>
      </c>
      <c r="AO882">
        <v>0</v>
      </c>
      <c r="AP882" s="2">
        <v>42831</v>
      </c>
      <c r="AQ882" t="s">
        <v>72</v>
      </c>
      <c r="AR882" t="s">
        <v>72</v>
      </c>
      <c r="AS882">
        <v>371</v>
      </c>
      <c r="AT882" s="4">
        <v>42775</v>
      </c>
      <c r="AU882" t="s">
        <v>73</v>
      </c>
      <c r="AV882">
        <v>371</v>
      </c>
      <c r="AW882" s="4">
        <v>42775</v>
      </c>
      <c r="BD882">
        <v>0</v>
      </c>
      <c r="BN882" t="s">
        <v>74</v>
      </c>
    </row>
    <row r="883" spans="1:66">
      <c r="A883">
        <v>101130</v>
      </c>
      <c r="B883" t="s">
        <v>239</v>
      </c>
      <c r="C883" s="1">
        <v>43300101</v>
      </c>
      <c r="D883" t="s">
        <v>67</v>
      </c>
      <c r="H883" t="str">
        <f t="shared" si="113"/>
        <v>09238800156</v>
      </c>
      <c r="I883" t="str">
        <f t="shared" si="113"/>
        <v>09238800156</v>
      </c>
      <c r="K883" t="str">
        <f>""</f>
        <v/>
      </c>
      <c r="M883" t="s">
        <v>68</v>
      </c>
      <c r="N883" t="str">
        <f t="shared" si="114"/>
        <v>FOR</v>
      </c>
      <c r="O883" t="s">
        <v>69</v>
      </c>
      <c r="P883" t="s">
        <v>75</v>
      </c>
      <c r="Q883">
        <v>2016</v>
      </c>
      <c r="R883" s="4">
        <v>42580</v>
      </c>
      <c r="S883" s="2">
        <v>42584</v>
      </c>
      <c r="T883" s="2">
        <v>42581</v>
      </c>
      <c r="U883" s="4">
        <v>42641</v>
      </c>
      <c r="V883" t="s">
        <v>71</v>
      </c>
      <c r="W883" t="str">
        <f>"          1023925318"</f>
        <v xml:space="preserve">          1023925318</v>
      </c>
      <c r="X883" s="1">
        <v>10266.299999999999</v>
      </c>
      <c r="Y883">
        <v>0</v>
      </c>
      <c r="Z883" s="5">
        <v>8415</v>
      </c>
      <c r="AA883" s="3">
        <v>134</v>
      </c>
      <c r="AB883" s="5">
        <v>1127610</v>
      </c>
      <c r="AC883" s="1">
        <v>8415</v>
      </c>
      <c r="AD883">
        <v>134</v>
      </c>
      <c r="AE883" s="1">
        <v>1127610</v>
      </c>
      <c r="AF883">
        <v>0</v>
      </c>
      <c r="AJ883">
        <v>0</v>
      </c>
      <c r="AK883">
        <v>0</v>
      </c>
      <c r="AL883">
        <v>0</v>
      </c>
      <c r="AM883">
        <v>0</v>
      </c>
      <c r="AN883">
        <v>0</v>
      </c>
      <c r="AO883">
        <v>0</v>
      </c>
      <c r="AP883" s="2">
        <v>42831</v>
      </c>
      <c r="AQ883" t="s">
        <v>72</v>
      </c>
      <c r="AR883" t="s">
        <v>72</v>
      </c>
      <c r="AS883">
        <v>371</v>
      </c>
      <c r="AT883" s="4">
        <v>42775</v>
      </c>
      <c r="AU883" t="s">
        <v>73</v>
      </c>
      <c r="AV883">
        <v>371</v>
      </c>
      <c r="AW883" s="4">
        <v>42775</v>
      </c>
      <c r="BD883">
        <v>0</v>
      </c>
      <c r="BN883" t="s">
        <v>74</v>
      </c>
    </row>
    <row r="884" spans="1:66">
      <c r="A884">
        <v>101130</v>
      </c>
      <c r="B884" t="s">
        <v>239</v>
      </c>
      <c r="C884" s="1">
        <v>43300101</v>
      </c>
      <c r="D884" t="s">
        <v>67</v>
      </c>
      <c r="H884" t="str">
        <f t="shared" si="113"/>
        <v>09238800156</v>
      </c>
      <c r="I884" t="str">
        <f t="shared" si="113"/>
        <v>09238800156</v>
      </c>
      <c r="K884" t="str">
        <f>""</f>
        <v/>
      </c>
      <c r="M884" t="s">
        <v>68</v>
      </c>
      <c r="N884" t="str">
        <f t="shared" si="114"/>
        <v>FOR</v>
      </c>
      <c r="O884" t="s">
        <v>69</v>
      </c>
      <c r="P884" t="s">
        <v>75</v>
      </c>
      <c r="Q884">
        <v>2016</v>
      </c>
      <c r="R884" s="4">
        <v>42580</v>
      </c>
      <c r="S884" s="2">
        <v>42584</v>
      </c>
      <c r="T884" s="2">
        <v>42581</v>
      </c>
      <c r="U884" s="4">
        <v>42641</v>
      </c>
      <c r="V884" t="s">
        <v>71</v>
      </c>
      <c r="W884" t="str">
        <f>"          1023925319"</f>
        <v xml:space="preserve">          1023925319</v>
      </c>
      <c r="X884">
        <v>506.3</v>
      </c>
      <c r="Y884">
        <v>0</v>
      </c>
      <c r="Z884" s="5">
        <v>415</v>
      </c>
      <c r="AA884" s="3">
        <v>134</v>
      </c>
      <c r="AB884" s="5">
        <v>55610</v>
      </c>
      <c r="AC884">
        <v>415</v>
      </c>
      <c r="AD884">
        <v>134</v>
      </c>
      <c r="AE884" s="1">
        <v>55610</v>
      </c>
      <c r="AF884">
        <v>0</v>
      </c>
      <c r="AJ884">
        <v>0</v>
      </c>
      <c r="AK884">
        <v>0</v>
      </c>
      <c r="AL884">
        <v>0</v>
      </c>
      <c r="AM884">
        <v>0</v>
      </c>
      <c r="AN884">
        <v>0</v>
      </c>
      <c r="AO884">
        <v>0</v>
      </c>
      <c r="AP884" s="2">
        <v>42831</v>
      </c>
      <c r="AQ884" t="s">
        <v>72</v>
      </c>
      <c r="AR884" t="s">
        <v>72</v>
      </c>
      <c r="AS884">
        <v>371</v>
      </c>
      <c r="AT884" s="4">
        <v>42775</v>
      </c>
      <c r="AU884" t="s">
        <v>73</v>
      </c>
      <c r="AV884">
        <v>371</v>
      </c>
      <c r="AW884" s="4">
        <v>42775</v>
      </c>
      <c r="BD884">
        <v>0</v>
      </c>
      <c r="BN884" t="s">
        <v>74</v>
      </c>
    </row>
    <row r="885" spans="1:66">
      <c r="A885">
        <v>101130</v>
      </c>
      <c r="B885" t="s">
        <v>239</v>
      </c>
      <c r="C885" s="1">
        <v>43300101</v>
      </c>
      <c r="D885" t="s">
        <v>67</v>
      </c>
      <c r="H885" t="str">
        <f t="shared" si="113"/>
        <v>09238800156</v>
      </c>
      <c r="I885" t="str">
        <f t="shared" si="113"/>
        <v>09238800156</v>
      </c>
      <c r="K885" t="str">
        <f>""</f>
        <v/>
      </c>
      <c r="M885" t="s">
        <v>68</v>
      </c>
      <c r="N885" t="str">
        <f t="shared" si="114"/>
        <v>FOR</v>
      </c>
      <c r="O885" t="s">
        <v>69</v>
      </c>
      <c r="P885" t="s">
        <v>75</v>
      </c>
      <c r="Q885">
        <v>2016</v>
      </c>
      <c r="R885" s="4">
        <v>42583</v>
      </c>
      <c r="S885" s="2">
        <v>42584</v>
      </c>
      <c r="T885" s="2">
        <v>42583</v>
      </c>
      <c r="U885" s="4">
        <v>42643</v>
      </c>
      <c r="V885" t="s">
        <v>71</v>
      </c>
      <c r="W885" t="str">
        <f>"          1023926424"</f>
        <v xml:space="preserve">          1023926424</v>
      </c>
      <c r="X885">
        <v>936</v>
      </c>
      <c r="Y885">
        <v>0</v>
      </c>
      <c r="Z885" s="5">
        <v>900</v>
      </c>
      <c r="AA885" s="3">
        <v>154</v>
      </c>
      <c r="AB885" s="5">
        <v>138600</v>
      </c>
      <c r="AC885">
        <v>900</v>
      </c>
      <c r="AD885">
        <v>154</v>
      </c>
      <c r="AE885" s="1">
        <v>138600</v>
      </c>
      <c r="AF885">
        <v>36</v>
      </c>
      <c r="AJ885">
        <v>0</v>
      </c>
      <c r="AK885">
        <v>0</v>
      </c>
      <c r="AL885">
        <v>0</v>
      </c>
      <c r="AM885">
        <v>0</v>
      </c>
      <c r="AN885">
        <v>0</v>
      </c>
      <c r="AO885">
        <v>0</v>
      </c>
      <c r="AP885" s="2">
        <v>42831</v>
      </c>
      <c r="AQ885" t="s">
        <v>72</v>
      </c>
      <c r="AR885" t="s">
        <v>72</v>
      </c>
      <c r="AS885">
        <v>720</v>
      </c>
      <c r="AT885" s="4">
        <v>42797</v>
      </c>
      <c r="AU885" t="s">
        <v>73</v>
      </c>
      <c r="AV885">
        <v>720</v>
      </c>
      <c r="AW885" s="4">
        <v>42797</v>
      </c>
      <c r="BD885">
        <v>36</v>
      </c>
      <c r="BN885" t="s">
        <v>74</v>
      </c>
    </row>
    <row r="886" spans="1:66">
      <c r="A886">
        <v>101130</v>
      </c>
      <c r="B886" t="s">
        <v>239</v>
      </c>
      <c r="C886" s="1">
        <v>43300101</v>
      </c>
      <c r="D886" t="s">
        <v>67</v>
      </c>
      <c r="H886" t="str">
        <f t="shared" si="113"/>
        <v>09238800156</v>
      </c>
      <c r="I886" t="str">
        <f t="shared" si="113"/>
        <v>09238800156</v>
      </c>
      <c r="K886" t="str">
        <f>""</f>
        <v/>
      </c>
      <c r="M886" t="s">
        <v>68</v>
      </c>
      <c r="N886" t="str">
        <f t="shared" si="114"/>
        <v>FOR</v>
      </c>
      <c r="O886" t="s">
        <v>69</v>
      </c>
      <c r="P886" t="s">
        <v>75</v>
      </c>
      <c r="Q886">
        <v>2016</v>
      </c>
      <c r="R886" s="4">
        <v>42583</v>
      </c>
      <c r="S886" s="2">
        <v>42584</v>
      </c>
      <c r="T886" s="2">
        <v>42583</v>
      </c>
      <c r="U886" s="4">
        <v>42643</v>
      </c>
      <c r="V886" t="s">
        <v>71</v>
      </c>
      <c r="W886" t="str">
        <f>"          1023926425"</f>
        <v xml:space="preserve">          1023926425</v>
      </c>
      <c r="X886">
        <v>424.94</v>
      </c>
      <c r="Y886">
        <v>0</v>
      </c>
      <c r="Z886" s="5">
        <v>408.6</v>
      </c>
      <c r="AA886" s="3">
        <v>154</v>
      </c>
      <c r="AB886" s="5">
        <v>62924.4</v>
      </c>
      <c r="AC886">
        <v>408.6</v>
      </c>
      <c r="AD886">
        <v>154</v>
      </c>
      <c r="AE886" s="1">
        <v>62924.4</v>
      </c>
      <c r="AF886">
        <v>16.34</v>
      </c>
      <c r="AJ886">
        <v>0</v>
      </c>
      <c r="AK886">
        <v>0</v>
      </c>
      <c r="AL886">
        <v>0</v>
      </c>
      <c r="AM886">
        <v>0</v>
      </c>
      <c r="AN886">
        <v>0</v>
      </c>
      <c r="AO886">
        <v>0</v>
      </c>
      <c r="AP886" s="2">
        <v>42831</v>
      </c>
      <c r="AQ886" t="s">
        <v>72</v>
      </c>
      <c r="AR886" t="s">
        <v>72</v>
      </c>
      <c r="AS886">
        <v>720</v>
      </c>
      <c r="AT886" s="4">
        <v>42797</v>
      </c>
      <c r="AU886" t="s">
        <v>73</v>
      </c>
      <c r="AV886">
        <v>720</v>
      </c>
      <c r="AW886" s="4">
        <v>42797</v>
      </c>
      <c r="BD886">
        <v>16.34</v>
      </c>
      <c r="BN886" t="s">
        <v>74</v>
      </c>
    </row>
    <row r="887" spans="1:66">
      <c r="A887">
        <v>101130</v>
      </c>
      <c r="B887" t="s">
        <v>239</v>
      </c>
      <c r="C887" s="1">
        <v>43300101</v>
      </c>
      <c r="D887" t="s">
        <v>67</v>
      </c>
      <c r="H887" t="str">
        <f t="shared" si="113"/>
        <v>09238800156</v>
      </c>
      <c r="I887" t="str">
        <f t="shared" si="113"/>
        <v>09238800156</v>
      </c>
      <c r="K887" t="str">
        <f>""</f>
        <v/>
      </c>
      <c r="M887" t="s">
        <v>68</v>
      </c>
      <c r="N887" t="str">
        <f t="shared" si="114"/>
        <v>FOR</v>
      </c>
      <c r="O887" t="s">
        <v>69</v>
      </c>
      <c r="P887" t="s">
        <v>75</v>
      </c>
      <c r="Q887">
        <v>2016</v>
      </c>
      <c r="R887" s="4">
        <v>42583</v>
      </c>
      <c r="S887" s="2">
        <v>42584</v>
      </c>
      <c r="T887" s="2">
        <v>42583</v>
      </c>
      <c r="U887" s="4">
        <v>42643</v>
      </c>
      <c r="V887" t="s">
        <v>71</v>
      </c>
      <c r="W887" t="str">
        <f>"          1023926426"</f>
        <v xml:space="preserve">          1023926426</v>
      </c>
      <c r="X887">
        <v>424.94</v>
      </c>
      <c r="Y887">
        <v>0</v>
      </c>
      <c r="Z887" s="5">
        <v>408.6</v>
      </c>
      <c r="AA887" s="3">
        <v>154</v>
      </c>
      <c r="AB887" s="5">
        <v>62924.4</v>
      </c>
      <c r="AC887">
        <v>408.6</v>
      </c>
      <c r="AD887">
        <v>154</v>
      </c>
      <c r="AE887" s="1">
        <v>62924.4</v>
      </c>
      <c r="AF887">
        <v>16.34</v>
      </c>
      <c r="AJ887">
        <v>0</v>
      </c>
      <c r="AK887">
        <v>0</v>
      </c>
      <c r="AL887">
        <v>0</v>
      </c>
      <c r="AM887">
        <v>0</v>
      </c>
      <c r="AN887">
        <v>0</v>
      </c>
      <c r="AO887">
        <v>0</v>
      </c>
      <c r="AP887" s="2">
        <v>42831</v>
      </c>
      <c r="AQ887" t="s">
        <v>72</v>
      </c>
      <c r="AR887" t="s">
        <v>72</v>
      </c>
      <c r="AS887">
        <v>720</v>
      </c>
      <c r="AT887" s="4">
        <v>42797</v>
      </c>
      <c r="AU887" t="s">
        <v>73</v>
      </c>
      <c r="AV887">
        <v>720</v>
      </c>
      <c r="AW887" s="4">
        <v>42797</v>
      </c>
      <c r="BD887">
        <v>16.34</v>
      </c>
      <c r="BN887" t="s">
        <v>74</v>
      </c>
    </row>
    <row r="888" spans="1:66">
      <c r="A888">
        <v>101130</v>
      </c>
      <c r="B888" t="s">
        <v>239</v>
      </c>
      <c r="C888" s="1">
        <v>43300101</v>
      </c>
      <c r="D888" t="s">
        <v>67</v>
      </c>
      <c r="H888" t="str">
        <f t="shared" si="113"/>
        <v>09238800156</v>
      </c>
      <c r="I888" t="str">
        <f t="shared" si="113"/>
        <v>09238800156</v>
      </c>
      <c r="K888" t="str">
        <f>""</f>
        <v/>
      </c>
      <c r="M888" t="s">
        <v>68</v>
      </c>
      <c r="N888" t="str">
        <f t="shared" si="114"/>
        <v>FOR</v>
      </c>
      <c r="O888" t="s">
        <v>69</v>
      </c>
      <c r="P888" t="s">
        <v>75</v>
      </c>
      <c r="Q888">
        <v>2016</v>
      </c>
      <c r="R888" s="4">
        <v>42583</v>
      </c>
      <c r="S888" s="2">
        <v>42584</v>
      </c>
      <c r="T888" s="2">
        <v>42583</v>
      </c>
      <c r="U888" s="4">
        <v>42643</v>
      </c>
      <c r="V888" t="s">
        <v>71</v>
      </c>
      <c r="W888" t="str">
        <f>"          1023926427"</f>
        <v xml:space="preserve">          1023926427</v>
      </c>
      <c r="X888">
        <v>447.2</v>
      </c>
      <c r="Y888">
        <v>0</v>
      </c>
      <c r="Z888" s="5">
        <v>430</v>
      </c>
      <c r="AA888" s="3">
        <v>154</v>
      </c>
      <c r="AB888" s="5">
        <v>66220</v>
      </c>
      <c r="AC888">
        <v>430</v>
      </c>
      <c r="AD888">
        <v>154</v>
      </c>
      <c r="AE888" s="1">
        <v>66220</v>
      </c>
      <c r="AF888">
        <v>17.2</v>
      </c>
      <c r="AJ888">
        <v>0</v>
      </c>
      <c r="AK888">
        <v>0</v>
      </c>
      <c r="AL888">
        <v>0</v>
      </c>
      <c r="AM888">
        <v>0</v>
      </c>
      <c r="AN888">
        <v>0</v>
      </c>
      <c r="AO888">
        <v>0</v>
      </c>
      <c r="AP888" s="2">
        <v>42831</v>
      </c>
      <c r="AQ888" t="s">
        <v>72</v>
      </c>
      <c r="AR888" t="s">
        <v>72</v>
      </c>
      <c r="AS888">
        <v>720</v>
      </c>
      <c r="AT888" s="4">
        <v>42797</v>
      </c>
      <c r="AU888" t="s">
        <v>73</v>
      </c>
      <c r="AV888">
        <v>720</v>
      </c>
      <c r="AW888" s="4">
        <v>42797</v>
      </c>
      <c r="BD888">
        <v>17.2</v>
      </c>
      <c r="BN888" t="s">
        <v>74</v>
      </c>
    </row>
    <row r="889" spans="1:66">
      <c r="A889">
        <v>101130</v>
      </c>
      <c r="B889" t="s">
        <v>239</v>
      </c>
      <c r="C889" s="1">
        <v>43300101</v>
      </c>
      <c r="D889" t="s">
        <v>67</v>
      </c>
      <c r="H889" t="str">
        <f t="shared" ref="H889:I906" si="115">"09238800156"</f>
        <v>09238800156</v>
      </c>
      <c r="I889" t="str">
        <f t="shared" si="115"/>
        <v>09238800156</v>
      </c>
      <c r="K889" t="str">
        <f>""</f>
        <v/>
      </c>
      <c r="M889" t="s">
        <v>68</v>
      </c>
      <c r="N889" t="str">
        <f t="shared" si="114"/>
        <v>FOR</v>
      </c>
      <c r="O889" t="s">
        <v>69</v>
      </c>
      <c r="P889" t="s">
        <v>75</v>
      </c>
      <c r="Q889">
        <v>2016</v>
      </c>
      <c r="R889" s="4">
        <v>42583</v>
      </c>
      <c r="S889" s="2">
        <v>42584</v>
      </c>
      <c r="T889" s="2">
        <v>42583</v>
      </c>
      <c r="U889" s="4">
        <v>42643</v>
      </c>
      <c r="V889" t="s">
        <v>71</v>
      </c>
      <c r="W889" t="str">
        <f>"          1023926428"</f>
        <v xml:space="preserve">          1023926428</v>
      </c>
      <c r="X889">
        <v>447.2</v>
      </c>
      <c r="Y889">
        <v>0</v>
      </c>
      <c r="Z889" s="5">
        <v>430</v>
      </c>
      <c r="AA889" s="3">
        <v>154</v>
      </c>
      <c r="AB889" s="5">
        <v>66220</v>
      </c>
      <c r="AC889">
        <v>430</v>
      </c>
      <c r="AD889">
        <v>154</v>
      </c>
      <c r="AE889" s="1">
        <v>66220</v>
      </c>
      <c r="AF889">
        <v>17.2</v>
      </c>
      <c r="AJ889">
        <v>0</v>
      </c>
      <c r="AK889">
        <v>0</v>
      </c>
      <c r="AL889">
        <v>0</v>
      </c>
      <c r="AM889">
        <v>0</v>
      </c>
      <c r="AN889">
        <v>0</v>
      </c>
      <c r="AO889">
        <v>0</v>
      </c>
      <c r="AP889" s="2">
        <v>42831</v>
      </c>
      <c r="AQ889" t="s">
        <v>72</v>
      </c>
      <c r="AR889" t="s">
        <v>72</v>
      </c>
      <c r="AS889">
        <v>720</v>
      </c>
      <c r="AT889" s="4">
        <v>42797</v>
      </c>
      <c r="AU889" t="s">
        <v>73</v>
      </c>
      <c r="AV889">
        <v>720</v>
      </c>
      <c r="AW889" s="4">
        <v>42797</v>
      </c>
      <c r="BD889">
        <v>17.2</v>
      </c>
      <c r="BN889" t="s">
        <v>74</v>
      </c>
    </row>
    <row r="890" spans="1:66">
      <c r="A890">
        <v>101130</v>
      </c>
      <c r="B890" t="s">
        <v>239</v>
      </c>
      <c r="C890" s="1">
        <v>43300101</v>
      </c>
      <c r="D890" t="s">
        <v>67</v>
      </c>
      <c r="H890" t="str">
        <f t="shared" si="115"/>
        <v>09238800156</v>
      </c>
      <c r="I890" t="str">
        <f t="shared" si="115"/>
        <v>09238800156</v>
      </c>
      <c r="K890" t="str">
        <f>""</f>
        <v/>
      </c>
      <c r="M890" t="s">
        <v>68</v>
      </c>
      <c r="N890" t="str">
        <f t="shared" si="114"/>
        <v>FOR</v>
      </c>
      <c r="O890" t="s">
        <v>69</v>
      </c>
      <c r="P890" t="s">
        <v>75</v>
      </c>
      <c r="Q890">
        <v>2016</v>
      </c>
      <c r="R890" s="4">
        <v>42583</v>
      </c>
      <c r="S890" s="2">
        <v>42584</v>
      </c>
      <c r="T890" s="2">
        <v>42583</v>
      </c>
      <c r="U890" s="4">
        <v>42643</v>
      </c>
      <c r="V890" t="s">
        <v>71</v>
      </c>
      <c r="W890" t="str">
        <f>"          1023926429"</f>
        <v xml:space="preserve">          1023926429</v>
      </c>
      <c r="X890">
        <v>447.2</v>
      </c>
      <c r="Y890">
        <v>0</v>
      </c>
      <c r="Z890" s="5">
        <v>430</v>
      </c>
      <c r="AA890" s="3">
        <v>154</v>
      </c>
      <c r="AB890" s="5">
        <v>66220</v>
      </c>
      <c r="AC890">
        <v>430</v>
      </c>
      <c r="AD890">
        <v>154</v>
      </c>
      <c r="AE890" s="1">
        <v>66220</v>
      </c>
      <c r="AF890">
        <v>17.2</v>
      </c>
      <c r="AJ890">
        <v>0</v>
      </c>
      <c r="AK890">
        <v>0</v>
      </c>
      <c r="AL890">
        <v>0</v>
      </c>
      <c r="AM890">
        <v>0</v>
      </c>
      <c r="AN890">
        <v>0</v>
      </c>
      <c r="AO890">
        <v>0</v>
      </c>
      <c r="AP890" s="2">
        <v>42831</v>
      </c>
      <c r="AQ890" t="s">
        <v>72</v>
      </c>
      <c r="AR890" t="s">
        <v>72</v>
      </c>
      <c r="AS890">
        <v>720</v>
      </c>
      <c r="AT890" s="4">
        <v>42797</v>
      </c>
      <c r="AU890" t="s">
        <v>73</v>
      </c>
      <c r="AV890">
        <v>720</v>
      </c>
      <c r="AW890" s="4">
        <v>42797</v>
      </c>
      <c r="BD890">
        <v>17.2</v>
      </c>
      <c r="BN890" t="s">
        <v>74</v>
      </c>
    </row>
    <row r="891" spans="1:66">
      <c r="A891">
        <v>101130</v>
      </c>
      <c r="B891" t="s">
        <v>239</v>
      </c>
      <c r="C891" s="1">
        <v>43300101</v>
      </c>
      <c r="D891" t="s">
        <v>67</v>
      </c>
      <c r="H891" t="str">
        <f t="shared" si="115"/>
        <v>09238800156</v>
      </c>
      <c r="I891" t="str">
        <f t="shared" si="115"/>
        <v>09238800156</v>
      </c>
      <c r="K891" t="str">
        <f>""</f>
        <v/>
      </c>
      <c r="M891" t="s">
        <v>68</v>
      </c>
      <c r="N891" t="str">
        <f t="shared" si="114"/>
        <v>FOR</v>
      </c>
      <c r="O891" t="s">
        <v>69</v>
      </c>
      <c r="P891" t="s">
        <v>75</v>
      </c>
      <c r="Q891">
        <v>2016</v>
      </c>
      <c r="R891" s="4">
        <v>42583</v>
      </c>
      <c r="S891" s="2">
        <v>42584</v>
      </c>
      <c r="T891" s="2">
        <v>42583</v>
      </c>
      <c r="U891" s="4">
        <v>42643</v>
      </c>
      <c r="V891" t="s">
        <v>71</v>
      </c>
      <c r="W891" t="str">
        <f>"          1023926430"</f>
        <v xml:space="preserve">          1023926430</v>
      </c>
      <c r="X891">
        <v>447.2</v>
      </c>
      <c r="Y891">
        <v>0</v>
      </c>
      <c r="Z891" s="5">
        <v>430</v>
      </c>
      <c r="AA891" s="3">
        <v>154</v>
      </c>
      <c r="AB891" s="5">
        <v>66220</v>
      </c>
      <c r="AC891">
        <v>430</v>
      </c>
      <c r="AD891">
        <v>154</v>
      </c>
      <c r="AE891" s="1">
        <v>66220</v>
      </c>
      <c r="AF891">
        <v>17.2</v>
      </c>
      <c r="AJ891">
        <v>0</v>
      </c>
      <c r="AK891">
        <v>0</v>
      </c>
      <c r="AL891">
        <v>0</v>
      </c>
      <c r="AM891">
        <v>0</v>
      </c>
      <c r="AN891">
        <v>0</v>
      </c>
      <c r="AO891">
        <v>0</v>
      </c>
      <c r="AP891" s="2">
        <v>42831</v>
      </c>
      <c r="AQ891" t="s">
        <v>72</v>
      </c>
      <c r="AR891" t="s">
        <v>72</v>
      </c>
      <c r="AS891">
        <v>720</v>
      </c>
      <c r="AT891" s="4">
        <v>42797</v>
      </c>
      <c r="AU891" t="s">
        <v>73</v>
      </c>
      <c r="AV891">
        <v>720</v>
      </c>
      <c r="AW891" s="4">
        <v>42797</v>
      </c>
      <c r="BD891">
        <v>17.2</v>
      </c>
      <c r="BN891" t="s">
        <v>74</v>
      </c>
    </row>
    <row r="892" spans="1:66">
      <c r="A892">
        <v>101130</v>
      </c>
      <c r="B892" t="s">
        <v>239</v>
      </c>
      <c r="C892" s="1">
        <v>43300101</v>
      </c>
      <c r="D892" t="s">
        <v>67</v>
      </c>
      <c r="H892" t="str">
        <f t="shared" si="115"/>
        <v>09238800156</v>
      </c>
      <c r="I892" t="str">
        <f t="shared" si="115"/>
        <v>09238800156</v>
      </c>
      <c r="K892" t="str">
        <f>""</f>
        <v/>
      </c>
      <c r="M892" t="s">
        <v>68</v>
      </c>
      <c r="N892" t="str">
        <f t="shared" si="114"/>
        <v>FOR</v>
      </c>
      <c r="O892" t="s">
        <v>69</v>
      </c>
      <c r="P892" t="s">
        <v>75</v>
      </c>
      <c r="Q892">
        <v>2016</v>
      </c>
      <c r="R892" s="4">
        <v>42583</v>
      </c>
      <c r="S892" s="2">
        <v>42584</v>
      </c>
      <c r="T892" s="2">
        <v>42583</v>
      </c>
      <c r="U892" s="4">
        <v>42643</v>
      </c>
      <c r="V892" t="s">
        <v>71</v>
      </c>
      <c r="W892" t="str">
        <f>"          1023926432"</f>
        <v xml:space="preserve">          1023926432</v>
      </c>
      <c r="X892">
        <v>424.94</v>
      </c>
      <c r="Y892">
        <v>0</v>
      </c>
      <c r="Z892" s="5">
        <v>408.6</v>
      </c>
      <c r="AA892" s="3">
        <v>154</v>
      </c>
      <c r="AB892" s="5">
        <v>62924.4</v>
      </c>
      <c r="AC892">
        <v>408.6</v>
      </c>
      <c r="AD892">
        <v>154</v>
      </c>
      <c r="AE892" s="1">
        <v>62924.4</v>
      </c>
      <c r="AF892">
        <v>16.34</v>
      </c>
      <c r="AJ892">
        <v>0</v>
      </c>
      <c r="AK892">
        <v>0</v>
      </c>
      <c r="AL892">
        <v>0</v>
      </c>
      <c r="AM892">
        <v>0</v>
      </c>
      <c r="AN892">
        <v>0</v>
      </c>
      <c r="AO892">
        <v>0</v>
      </c>
      <c r="AP892" s="2">
        <v>42831</v>
      </c>
      <c r="AQ892" t="s">
        <v>72</v>
      </c>
      <c r="AR892" t="s">
        <v>72</v>
      </c>
      <c r="AS892">
        <v>720</v>
      </c>
      <c r="AT892" s="4">
        <v>42797</v>
      </c>
      <c r="AU892" t="s">
        <v>73</v>
      </c>
      <c r="AV892">
        <v>720</v>
      </c>
      <c r="AW892" s="4">
        <v>42797</v>
      </c>
      <c r="BD892">
        <v>16.34</v>
      </c>
      <c r="BN892" t="s">
        <v>74</v>
      </c>
    </row>
    <row r="893" spans="1:66">
      <c r="A893">
        <v>101130</v>
      </c>
      <c r="B893" t="s">
        <v>239</v>
      </c>
      <c r="C893" s="1">
        <v>43300101</v>
      </c>
      <c r="D893" t="s">
        <v>67</v>
      </c>
      <c r="H893" t="str">
        <f t="shared" si="115"/>
        <v>09238800156</v>
      </c>
      <c r="I893" t="str">
        <f t="shared" si="115"/>
        <v>09238800156</v>
      </c>
      <c r="K893" t="str">
        <f>""</f>
        <v/>
      </c>
      <c r="M893" t="s">
        <v>68</v>
      </c>
      <c r="N893" t="str">
        <f t="shared" si="114"/>
        <v>FOR</v>
      </c>
      <c r="O893" t="s">
        <v>69</v>
      </c>
      <c r="P893" t="s">
        <v>75</v>
      </c>
      <c r="Q893">
        <v>2016</v>
      </c>
      <c r="R893" s="4">
        <v>42583</v>
      </c>
      <c r="S893" s="2">
        <v>42584</v>
      </c>
      <c r="T893" s="2">
        <v>42583</v>
      </c>
      <c r="U893" s="4">
        <v>42643</v>
      </c>
      <c r="V893" t="s">
        <v>71</v>
      </c>
      <c r="W893" t="str">
        <f>"          1023926433"</f>
        <v xml:space="preserve">          1023926433</v>
      </c>
      <c r="X893">
        <v>424.94</v>
      </c>
      <c r="Y893">
        <v>0</v>
      </c>
      <c r="Z893" s="5">
        <v>408.6</v>
      </c>
      <c r="AA893" s="3">
        <v>154</v>
      </c>
      <c r="AB893" s="5">
        <v>62924.4</v>
      </c>
      <c r="AC893">
        <v>408.6</v>
      </c>
      <c r="AD893">
        <v>154</v>
      </c>
      <c r="AE893" s="1">
        <v>62924.4</v>
      </c>
      <c r="AF893">
        <v>16.34</v>
      </c>
      <c r="AJ893">
        <v>0</v>
      </c>
      <c r="AK893">
        <v>0</v>
      </c>
      <c r="AL893">
        <v>0</v>
      </c>
      <c r="AM893">
        <v>0</v>
      </c>
      <c r="AN893">
        <v>0</v>
      </c>
      <c r="AO893">
        <v>0</v>
      </c>
      <c r="AP893" s="2">
        <v>42831</v>
      </c>
      <c r="AQ893" t="s">
        <v>72</v>
      </c>
      <c r="AR893" t="s">
        <v>72</v>
      </c>
      <c r="AS893">
        <v>720</v>
      </c>
      <c r="AT893" s="4">
        <v>42797</v>
      </c>
      <c r="AU893" t="s">
        <v>73</v>
      </c>
      <c r="AV893">
        <v>720</v>
      </c>
      <c r="AW893" s="4">
        <v>42797</v>
      </c>
      <c r="BD893">
        <v>16.34</v>
      </c>
      <c r="BN893" t="s">
        <v>74</v>
      </c>
    </row>
    <row r="894" spans="1:66">
      <c r="A894">
        <v>101130</v>
      </c>
      <c r="B894" t="s">
        <v>239</v>
      </c>
      <c r="C894" s="1">
        <v>43300101</v>
      </c>
      <c r="D894" t="s">
        <v>67</v>
      </c>
      <c r="H894" t="str">
        <f t="shared" si="115"/>
        <v>09238800156</v>
      </c>
      <c r="I894" t="str">
        <f t="shared" si="115"/>
        <v>09238800156</v>
      </c>
      <c r="K894" t="str">
        <f>""</f>
        <v/>
      </c>
      <c r="M894" t="s">
        <v>68</v>
      </c>
      <c r="N894" t="str">
        <f t="shared" si="114"/>
        <v>FOR</v>
      </c>
      <c r="O894" t="s">
        <v>69</v>
      </c>
      <c r="P894" t="s">
        <v>75</v>
      </c>
      <c r="Q894">
        <v>2016</v>
      </c>
      <c r="R894" s="4">
        <v>42583</v>
      </c>
      <c r="S894" s="2">
        <v>42584</v>
      </c>
      <c r="T894" s="2">
        <v>42583</v>
      </c>
      <c r="U894" s="4">
        <v>42643</v>
      </c>
      <c r="V894" t="s">
        <v>71</v>
      </c>
      <c r="W894" t="str">
        <f>"          1023926434"</f>
        <v xml:space="preserve">          1023926434</v>
      </c>
      <c r="X894">
        <v>424.94</v>
      </c>
      <c r="Y894">
        <v>0</v>
      </c>
      <c r="Z894" s="5">
        <v>408.6</v>
      </c>
      <c r="AA894" s="3">
        <v>154</v>
      </c>
      <c r="AB894" s="5">
        <v>62924.4</v>
      </c>
      <c r="AC894">
        <v>408.6</v>
      </c>
      <c r="AD894">
        <v>154</v>
      </c>
      <c r="AE894" s="1">
        <v>62924.4</v>
      </c>
      <c r="AF894">
        <v>16.34</v>
      </c>
      <c r="AJ894">
        <v>0</v>
      </c>
      <c r="AK894">
        <v>0</v>
      </c>
      <c r="AL894">
        <v>0</v>
      </c>
      <c r="AM894">
        <v>0</v>
      </c>
      <c r="AN894">
        <v>0</v>
      </c>
      <c r="AO894">
        <v>0</v>
      </c>
      <c r="AP894" s="2">
        <v>42831</v>
      </c>
      <c r="AQ894" t="s">
        <v>72</v>
      </c>
      <c r="AR894" t="s">
        <v>72</v>
      </c>
      <c r="AS894">
        <v>720</v>
      </c>
      <c r="AT894" s="4">
        <v>42797</v>
      </c>
      <c r="AU894" t="s">
        <v>73</v>
      </c>
      <c r="AV894">
        <v>720</v>
      </c>
      <c r="AW894" s="4">
        <v>42797</v>
      </c>
      <c r="BD894">
        <v>16.34</v>
      </c>
      <c r="BN894" t="s">
        <v>74</v>
      </c>
    </row>
    <row r="895" spans="1:66">
      <c r="A895">
        <v>101130</v>
      </c>
      <c r="B895" t="s">
        <v>239</v>
      </c>
      <c r="C895" s="1">
        <v>43300101</v>
      </c>
      <c r="D895" t="s">
        <v>67</v>
      </c>
      <c r="H895" t="str">
        <f t="shared" si="115"/>
        <v>09238800156</v>
      </c>
      <c r="I895" t="str">
        <f t="shared" si="115"/>
        <v>09238800156</v>
      </c>
      <c r="K895" t="str">
        <f>""</f>
        <v/>
      </c>
      <c r="M895" t="s">
        <v>68</v>
      </c>
      <c r="N895" t="str">
        <f t="shared" si="114"/>
        <v>FOR</v>
      </c>
      <c r="O895" t="s">
        <v>69</v>
      </c>
      <c r="P895" t="s">
        <v>75</v>
      </c>
      <c r="Q895">
        <v>2016</v>
      </c>
      <c r="R895" s="4">
        <v>42583</v>
      </c>
      <c r="S895" s="2">
        <v>42584</v>
      </c>
      <c r="T895" s="2">
        <v>42583</v>
      </c>
      <c r="U895" s="4">
        <v>42643</v>
      </c>
      <c r="V895" t="s">
        <v>71</v>
      </c>
      <c r="W895" t="str">
        <f>"          1023926435"</f>
        <v xml:space="preserve">          1023926435</v>
      </c>
      <c r="X895">
        <v>424.94</v>
      </c>
      <c r="Y895">
        <v>0</v>
      </c>
      <c r="Z895" s="5">
        <v>408.6</v>
      </c>
      <c r="AA895" s="3">
        <v>154</v>
      </c>
      <c r="AB895" s="5">
        <v>62924.4</v>
      </c>
      <c r="AC895">
        <v>408.6</v>
      </c>
      <c r="AD895">
        <v>154</v>
      </c>
      <c r="AE895" s="1">
        <v>62924.4</v>
      </c>
      <c r="AF895">
        <v>16.34</v>
      </c>
      <c r="AJ895">
        <v>0</v>
      </c>
      <c r="AK895">
        <v>0</v>
      </c>
      <c r="AL895">
        <v>0</v>
      </c>
      <c r="AM895">
        <v>0</v>
      </c>
      <c r="AN895">
        <v>0</v>
      </c>
      <c r="AO895">
        <v>0</v>
      </c>
      <c r="AP895" s="2">
        <v>42831</v>
      </c>
      <c r="AQ895" t="s">
        <v>72</v>
      </c>
      <c r="AR895" t="s">
        <v>72</v>
      </c>
      <c r="AS895">
        <v>720</v>
      </c>
      <c r="AT895" s="4">
        <v>42797</v>
      </c>
      <c r="AU895" t="s">
        <v>73</v>
      </c>
      <c r="AV895">
        <v>720</v>
      </c>
      <c r="AW895" s="4">
        <v>42797</v>
      </c>
      <c r="BD895">
        <v>16.34</v>
      </c>
      <c r="BN895" t="s">
        <v>74</v>
      </c>
    </row>
    <row r="896" spans="1:66">
      <c r="A896">
        <v>101130</v>
      </c>
      <c r="B896" t="s">
        <v>239</v>
      </c>
      <c r="C896" s="1">
        <v>43300101</v>
      </c>
      <c r="D896" t="s">
        <v>67</v>
      </c>
      <c r="H896" t="str">
        <f t="shared" si="115"/>
        <v>09238800156</v>
      </c>
      <c r="I896" t="str">
        <f t="shared" si="115"/>
        <v>09238800156</v>
      </c>
      <c r="K896" t="str">
        <f>""</f>
        <v/>
      </c>
      <c r="M896" t="s">
        <v>68</v>
      </c>
      <c r="N896" t="str">
        <f t="shared" si="114"/>
        <v>FOR</v>
      </c>
      <c r="O896" t="s">
        <v>69</v>
      </c>
      <c r="P896" t="s">
        <v>75</v>
      </c>
      <c r="Q896">
        <v>2016</v>
      </c>
      <c r="R896" s="4">
        <v>42585</v>
      </c>
      <c r="S896" s="2">
        <v>42587</v>
      </c>
      <c r="T896" s="2">
        <v>42586</v>
      </c>
      <c r="U896" s="4">
        <v>42646</v>
      </c>
      <c r="V896" t="s">
        <v>71</v>
      </c>
      <c r="W896" t="str">
        <f>"          1023929007"</f>
        <v xml:space="preserve">          1023929007</v>
      </c>
      <c r="X896">
        <v>96.1</v>
      </c>
      <c r="Y896">
        <v>0</v>
      </c>
      <c r="Z896" s="5">
        <v>92.4</v>
      </c>
      <c r="AA896" s="3">
        <v>151</v>
      </c>
      <c r="AB896" s="5">
        <v>13952.4</v>
      </c>
      <c r="AC896">
        <v>92.4</v>
      </c>
      <c r="AD896">
        <v>151</v>
      </c>
      <c r="AE896" s="1">
        <v>13952.4</v>
      </c>
      <c r="AF896">
        <v>3.7</v>
      </c>
      <c r="AJ896">
        <v>0</v>
      </c>
      <c r="AK896">
        <v>0</v>
      </c>
      <c r="AL896">
        <v>0</v>
      </c>
      <c r="AM896">
        <v>0</v>
      </c>
      <c r="AN896">
        <v>0</v>
      </c>
      <c r="AO896">
        <v>0</v>
      </c>
      <c r="AP896" s="2">
        <v>42831</v>
      </c>
      <c r="AQ896" t="s">
        <v>72</v>
      </c>
      <c r="AR896" t="s">
        <v>72</v>
      </c>
      <c r="AS896">
        <v>720</v>
      </c>
      <c r="AT896" s="4">
        <v>42797</v>
      </c>
      <c r="AU896" t="s">
        <v>73</v>
      </c>
      <c r="AV896">
        <v>720</v>
      </c>
      <c r="AW896" s="4">
        <v>42797</v>
      </c>
      <c r="BC896">
        <v>3.7</v>
      </c>
      <c r="BD896">
        <v>0</v>
      </c>
      <c r="BN896" t="s">
        <v>74</v>
      </c>
    </row>
    <row r="897" spans="1:66">
      <c r="A897">
        <v>101130</v>
      </c>
      <c r="B897" t="s">
        <v>239</v>
      </c>
      <c r="C897" s="1">
        <v>43300101</v>
      </c>
      <c r="D897" t="s">
        <v>67</v>
      </c>
      <c r="H897" t="str">
        <f t="shared" si="115"/>
        <v>09238800156</v>
      </c>
      <c r="I897" t="str">
        <f t="shared" si="115"/>
        <v>09238800156</v>
      </c>
      <c r="K897" t="str">
        <f>""</f>
        <v/>
      </c>
      <c r="M897" t="s">
        <v>68</v>
      </c>
      <c r="N897" t="str">
        <f t="shared" si="114"/>
        <v>FOR</v>
      </c>
      <c r="O897" t="s">
        <v>69</v>
      </c>
      <c r="P897" t="s">
        <v>75</v>
      </c>
      <c r="Q897">
        <v>2016</v>
      </c>
      <c r="R897" s="4">
        <v>42586</v>
      </c>
      <c r="S897" s="2">
        <v>42587</v>
      </c>
      <c r="T897" s="2">
        <v>42586</v>
      </c>
      <c r="U897" s="4">
        <v>42646</v>
      </c>
      <c r="V897" t="s">
        <v>71</v>
      </c>
      <c r="W897" t="str">
        <f>"          1023930025"</f>
        <v xml:space="preserve">          1023930025</v>
      </c>
      <c r="X897">
        <v>156</v>
      </c>
      <c r="Y897">
        <v>0</v>
      </c>
      <c r="Z897" s="5">
        <v>150</v>
      </c>
      <c r="AA897" s="3">
        <v>151</v>
      </c>
      <c r="AB897" s="5">
        <v>22650</v>
      </c>
      <c r="AC897">
        <v>150</v>
      </c>
      <c r="AD897">
        <v>151</v>
      </c>
      <c r="AE897" s="1">
        <v>22650</v>
      </c>
      <c r="AF897">
        <v>6</v>
      </c>
      <c r="AJ897">
        <v>0</v>
      </c>
      <c r="AK897">
        <v>0</v>
      </c>
      <c r="AL897">
        <v>0</v>
      </c>
      <c r="AM897">
        <v>0</v>
      </c>
      <c r="AN897">
        <v>0</v>
      </c>
      <c r="AO897">
        <v>0</v>
      </c>
      <c r="AP897" s="2">
        <v>42831</v>
      </c>
      <c r="AQ897" t="s">
        <v>72</v>
      </c>
      <c r="AR897" t="s">
        <v>72</v>
      </c>
      <c r="AS897">
        <v>720</v>
      </c>
      <c r="AT897" s="4">
        <v>42797</v>
      </c>
      <c r="AU897" t="s">
        <v>73</v>
      </c>
      <c r="AV897">
        <v>720</v>
      </c>
      <c r="AW897" s="4">
        <v>42797</v>
      </c>
      <c r="BC897">
        <v>6</v>
      </c>
      <c r="BD897">
        <v>0</v>
      </c>
      <c r="BN897" t="s">
        <v>74</v>
      </c>
    </row>
    <row r="898" spans="1:66">
      <c r="A898">
        <v>101130</v>
      </c>
      <c r="B898" t="s">
        <v>239</v>
      </c>
      <c r="C898" s="1">
        <v>43300101</v>
      </c>
      <c r="D898" t="s">
        <v>67</v>
      </c>
      <c r="H898" t="str">
        <f t="shared" si="115"/>
        <v>09238800156</v>
      </c>
      <c r="I898" t="str">
        <f t="shared" si="115"/>
        <v>09238800156</v>
      </c>
      <c r="K898" t="str">
        <f>""</f>
        <v/>
      </c>
      <c r="M898" t="s">
        <v>68</v>
      </c>
      <c r="N898" t="str">
        <f t="shared" si="114"/>
        <v>FOR</v>
      </c>
      <c r="O898" t="s">
        <v>69</v>
      </c>
      <c r="P898" t="s">
        <v>75</v>
      </c>
      <c r="Q898">
        <v>2016</v>
      </c>
      <c r="R898" s="4">
        <v>42590</v>
      </c>
      <c r="S898" s="2">
        <v>42591</v>
      </c>
      <c r="T898" s="2">
        <v>42590</v>
      </c>
      <c r="U898" s="4">
        <v>42650</v>
      </c>
      <c r="V898" t="s">
        <v>71</v>
      </c>
      <c r="W898" t="str">
        <f>"          1023931915"</f>
        <v xml:space="preserve">          1023931915</v>
      </c>
      <c r="X898">
        <v>78</v>
      </c>
      <c r="Y898">
        <v>0</v>
      </c>
      <c r="Z898" s="5">
        <v>75</v>
      </c>
      <c r="AA898" s="3">
        <v>147</v>
      </c>
      <c r="AB898" s="5">
        <v>11025</v>
      </c>
      <c r="AC898">
        <v>75</v>
      </c>
      <c r="AD898">
        <v>147</v>
      </c>
      <c r="AE898" s="1">
        <v>11025</v>
      </c>
      <c r="AF898">
        <v>3</v>
      </c>
      <c r="AJ898">
        <v>0</v>
      </c>
      <c r="AK898">
        <v>0</v>
      </c>
      <c r="AL898">
        <v>0</v>
      </c>
      <c r="AM898">
        <v>0</v>
      </c>
      <c r="AN898">
        <v>0</v>
      </c>
      <c r="AO898">
        <v>0</v>
      </c>
      <c r="AP898" s="2">
        <v>42831</v>
      </c>
      <c r="AQ898" t="s">
        <v>72</v>
      </c>
      <c r="AR898" t="s">
        <v>72</v>
      </c>
      <c r="AS898">
        <v>720</v>
      </c>
      <c r="AT898" s="4">
        <v>42797</v>
      </c>
      <c r="AU898" t="s">
        <v>73</v>
      </c>
      <c r="AV898">
        <v>720</v>
      </c>
      <c r="AW898" s="4">
        <v>42797</v>
      </c>
      <c r="BC898">
        <v>3</v>
      </c>
      <c r="BD898">
        <v>0</v>
      </c>
      <c r="BN898" t="s">
        <v>74</v>
      </c>
    </row>
    <row r="899" spans="1:66">
      <c r="A899">
        <v>101130</v>
      </c>
      <c r="B899" t="s">
        <v>239</v>
      </c>
      <c r="C899" s="1">
        <v>43300101</v>
      </c>
      <c r="D899" t="s">
        <v>67</v>
      </c>
      <c r="H899" t="str">
        <f t="shared" si="115"/>
        <v>09238800156</v>
      </c>
      <c r="I899" t="str">
        <f t="shared" si="115"/>
        <v>09238800156</v>
      </c>
      <c r="K899" t="str">
        <f>""</f>
        <v/>
      </c>
      <c r="M899" t="s">
        <v>68</v>
      </c>
      <c r="N899" t="str">
        <f t="shared" si="114"/>
        <v>FOR</v>
      </c>
      <c r="O899" t="s">
        <v>69</v>
      </c>
      <c r="P899" t="s">
        <v>75</v>
      </c>
      <c r="Q899">
        <v>2016</v>
      </c>
      <c r="R899" s="4">
        <v>42592</v>
      </c>
      <c r="S899" s="2">
        <v>42593</v>
      </c>
      <c r="T899" s="2">
        <v>42592</v>
      </c>
      <c r="U899" s="4">
        <v>42652</v>
      </c>
      <c r="V899" t="s">
        <v>71</v>
      </c>
      <c r="W899" t="str">
        <f>"          1023933465"</f>
        <v xml:space="preserve">          1023933465</v>
      </c>
      <c r="X899">
        <v>447.2</v>
      </c>
      <c r="Y899">
        <v>0</v>
      </c>
      <c r="Z899" s="5">
        <v>430</v>
      </c>
      <c r="AA899" s="3">
        <v>145</v>
      </c>
      <c r="AB899" s="5">
        <v>62350</v>
      </c>
      <c r="AC899">
        <v>430</v>
      </c>
      <c r="AD899">
        <v>145</v>
      </c>
      <c r="AE899" s="1">
        <v>62350</v>
      </c>
      <c r="AF899">
        <v>17.2</v>
      </c>
      <c r="AJ899">
        <v>0</v>
      </c>
      <c r="AK899">
        <v>0</v>
      </c>
      <c r="AL899">
        <v>0</v>
      </c>
      <c r="AM899">
        <v>0</v>
      </c>
      <c r="AN899">
        <v>0</v>
      </c>
      <c r="AO899">
        <v>0</v>
      </c>
      <c r="AP899" s="2">
        <v>42831</v>
      </c>
      <c r="AQ899" t="s">
        <v>72</v>
      </c>
      <c r="AR899" t="s">
        <v>72</v>
      </c>
      <c r="AS899">
        <v>720</v>
      </c>
      <c r="AT899" s="4">
        <v>42797</v>
      </c>
      <c r="AU899" t="s">
        <v>73</v>
      </c>
      <c r="AV899">
        <v>720</v>
      </c>
      <c r="AW899" s="4">
        <v>42797</v>
      </c>
      <c r="BC899">
        <v>17.2</v>
      </c>
      <c r="BD899">
        <v>0</v>
      </c>
      <c r="BN899" t="s">
        <v>74</v>
      </c>
    </row>
    <row r="900" spans="1:66">
      <c r="A900">
        <v>101130</v>
      </c>
      <c r="B900" t="s">
        <v>239</v>
      </c>
      <c r="C900" s="1">
        <v>43300101</v>
      </c>
      <c r="D900" t="s">
        <v>67</v>
      </c>
      <c r="H900" t="str">
        <f t="shared" si="115"/>
        <v>09238800156</v>
      </c>
      <c r="I900" t="str">
        <f t="shared" si="115"/>
        <v>09238800156</v>
      </c>
      <c r="K900" t="str">
        <f>""</f>
        <v/>
      </c>
      <c r="M900" t="s">
        <v>68</v>
      </c>
      <c r="N900" t="str">
        <f t="shared" si="114"/>
        <v>FOR</v>
      </c>
      <c r="O900" t="s">
        <v>69</v>
      </c>
      <c r="P900" t="s">
        <v>75</v>
      </c>
      <c r="Q900">
        <v>2016</v>
      </c>
      <c r="R900" s="4">
        <v>42592</v>
      </c>
      <c r="S900" s="2">
        <v>42593</v>
      </c>
      <c r="T900" s="2">
        <v>42592</v>
      </c>
      <c r="U900" s="4">
        <v>42652</v>
      </c>
      <c r="V900" t="s">
        <v>71</v>
      </c>
      <c r="W900" t="str">
        <f>"          1023933466"</f>
        <v xml:space="preserve">          1023933466</v>
      </c>
      <c r="X900">
        <v>447.2</v>
      </c>
      <c r="Y900">
        <v>0</v>
      </c>
      <c r="Z900" s="5">
        <v>430</v>
      </c>
      <c r="AA900" s="3">
        <v>145</v>
      </c>
      <c r="AB900" s="5">
        <v>62350</v>
      </c>
      <c r="AC900">
        <v>430</v>
      </c>
      <c r="AD900">
        <v>145</v>
      </c>
      <c r="AE900" s="1">
        <v>62350</v>
      </c>
      <c r="AF900">
        <v>17.2</v>
      </c>
      <c r="AJ900">
        <v>0</v>
      </c>
      <c r="AK900">
        <v>0</v>
      </c>
      <c r="AL900">
        <v>0</v>
      </c>
      <c r="AM900">
        <v>0</v>
      </c>
      <c r="AN900">
        <v>0</v>
      </c>
      <c r="AO900">
        <v>0</v>
      </c>
      <c r="AP900" s="2">
        <v>42831</v>
      </c>
      <c r="AQ900" t="s">
        <v>72</v>
      </c>
      <c r="AR900" t="s">
        <v>72</v>
      </c>
      <c r="AS900">
        <v>720</v>
      </c>
      <c r="AT900" s="4">
        <v>42797</v>
      </c>
      <c r="AU900" t="s">
        <v>73</v>
      </c>
      <c r="AV900">
        <v>720</v>
      </c>
      <c r="AW900" s="4">
        <v>42797</v>
      </c>
      <c r="BC900">
        <v>17.2</v>
      </c>
      <c r="BD900">
        <v>0</v>
      </c>
      <c r="BN900" t="s">
        <v>74</v>
      </c>
    </row>
    <row r="901" spans="1:66">
      <c r="A901">
        <v>101130</v>
      </c>
      <c r="B901" t="s">
        <v>239</v>
      </c>
      <c r="C901" s="1">
        <v>43300101</v>
      </c>
      <c r="D901" t="s">
        <v>67</v>
      </c>
      <c r="H901" t="str">
        <f t="shared" si="115"/>
        <v>09238800156</v>
      </c>
      <c r="I901" t="str">
        <f t="shared" si="115"/>
        <v>09238800156</v>
      </c>
      <c r="K901" t="str">
        <f>""</f>
        <v/>
      </c>
      <c r="M901" t="s">
        <v>68</v>
      </c>
      <c r="N901" t="str">
        <f t="shared" si="114"/>
        <v>FOR</v>
      </c>
      <c r="O901" t="s">
        <v>69</v>
      </c>
      <c r="P901" t="s">
        <v>75</v>
      </c>
      <c r="Q901">
        <v>2016</v>
      </c>
      <c r="R901" s="4">
        <v>42600</v>
      </c>
      <c r="S901" s="2">
        <v>42601</v>
      </c>
      <c r="T901" s="2">
        <v>42600</v>
      </c>
      <c r="U901" s="4">
        <v>42660</v>
      </c>
      <c r="V901" t="s">
        <v>71</v>
      </c>
      <c r="W901" t="str">
        <f>"          1023936863"</f>
        <v xml:space="preserve">          1023936863</v>
      </c>
      <c r="X901">
        <v>447.2</v>
      </c>
      <c r="Y901">
        <v>0</v>
      </c>
      <c r="Z901" s="5">
        <v>430</v>
      </c>
      <c r="AA901" s="3">
        <v>137</v>
      </c>
      <c r="AB901" s="5">
        <v>58910</v>
      </c>
      <c r="AC901">
        <v>430</v>
      </c>
      <c r="AD901">
        <v>137</v>
      </c>
      <c r="AE901" s="1">
        <v>58910</v>
      </c>
      <c r="AF901">
        <v>17.2</v>
      </c>
      <c r="AJ901">
        <v>0</v>
      </c>
      <c r="AK901">
        <v>0</v>
      </c>
      <c r="AL901">
        <v>0</v>
      </c>
      <c r="AM901">
        <v>0</v>
      </c>
      <c r="AN901">
        <v>0</v>
      </c>
      <c r="AO901">
        <v>0</v>
      </c>
      <c r="AP901" s="2">
        <v>42831</v>
      </c>
      <c r="AQ901" t="s">
        <v>72</v>
      </c>
      <c r="AR901" t="s">
        <v>72</v>
      </c>
      <c r="AS901">
        <v>720</v>
      </c>
      <c r="AT901" s="4">
        <v>42797</v>
      </c>
      <c r="AU901" t="s">
        <v>73</v>
      </c>
      <c r="AV901">
        <v>720</v>
      </c>
      <c r="AW901" s="4">
        <v>42797</v>
      </c>
      <c r="BC901">
        <v>17.2</v>
      </c>
      <c r="BD901">
        <v>0</v>
      </c>
      <c r="BN901" t="s">
        <v>74</v>
      </c>
    </row>
    <row r="902" spans="1:66">
      <c r="A902">
        <v>101130</v>
      </c>
      <c r="B902" t="s">
        <v>239</v>
      </c>
      <c r="C902" s="1">
        <v>43300101</v>
      </c>
      <c r="D902" t="s">
        <v>67</v>
      </c>
      <c r="H902" t="str">
        <f t="shared" si="115"/>
        <v>09238800156</v>
      </c>
      <c r="I902" t="str">
        <f t="shared" si="115"/>
        <v>09238800156</v>
      </c>
      <c r="K902" t="str">
        <f>""</f>
        <v/>
      </c>
      <c r="M902" t="s">
        <v>68</v>
      </c>
      <c r="N902" t="str">
        <f t="shared" si="114"/>
        <v>FOR</v>
      </c>
      <c r="O902" t="s">
        <v>69</v>
      </c>
      <c r="P902" t="s">
        <v>75</v>
      </c>
      <c r="Q902">
        <v>2016</v>
      </c>
      <c r="R902" s="4">
        <v>42604</v>
      </c>
      <c r="S902" s="2">
        <v>42612</v>
      </c>
      <c r="T902" s="2">
        <v>42604</v>
      </c>
      <c r="U902" s="4">
        <v>42664</v>
      </c>
      <c r="V902" t="s">
        <v>71</v>
      </c>
      <c r="W902" t="str">
        <f>"          1023938101"</f>
        <v xml:space="preserve">          1023938101</v>
      </c>
      <c r="X902" s="1">
        <v>1158.02</v>
      </c>
      <c r="Y902">
        <v>0</v>
      </c>
      <c r="Z902" s="5">
        <v>949.2</v>
      </c>
      <c r="AA902" s="3">
        <v>133</v>
      </c>
      <c r="AB902" s="5">
        <v>126243.6</v>
      </c>
      <c r="AC902">
        <v>949.2</v>
      </c>
      <c r="AD902">
        <v>133</v>
      </c>
      <c r="AE902" s="1">
        <v>126243.6</v>
      </c>
      <c r="AF902">
        <v>208.82</v>
      </c>
      <c r="AJ902">
        <v>0</v>
      </c>
      <c r="AK902">
        <v>0</v>
      </c>
      <c r="AL902">
        <v>0</v>
      </c>
      <c r="AM902">
        <v>0</v>
      </c>
      <c r="AN902">
        <v>0</v>
      </c>
      <c r="AO902">
        <v>0</v>
      </c>
      <c r="AP902" s="2">
        <v>42831</v>
      </c>
      <c r="AQ902" t="s">
        <v>72</v>
      </c>
      <c r="AR902" t="s">
        <v>72</v>
      </c>
      <c r="AS902">
        <v>720</v>
      </c>
      <c r="AT902" s="4">
        <v>42797</v>
      </c>
      <c r="AU902" t="s">
        <v>73</v>
      </c>
      <c r="AV902">
        <v>720</v>
      </c>
      <c r="AW902" s="4">
        <v>42797</v>
      </c>
      <c r="BC902">
        <v>208.82</v>
      </c>
      <c r="BD902">
        <v>0</v>
      </c>
      <c r="BN902" t="s">
        <v>74</v>
      </c>
    </row>
    <row r="903" spans="1:66">
      <c r="A903">
        <v>101130</v>
      </c>
      <c r="B903" t="s">
        <v>239</v>
      </c>
      <c r="C903" s="1">
        <v>43300101</v>
      </c>
      <c r="D903" t="s">
        <v>67</v>
      </c>
      <c r="H903" t="str">
        <f t="shared" si="115"/>
        <v>09238800156</v>
      </c>
      <c r="I903" t="str">
        <f t="shared" si="115"/>
        <v>09238800156</v>
      </c>
      <c r="K903" t="str">
        <f>""</f>
        <v/>
      </c>
      <c r="M903" t="s">
        <v>68</v>
      </c>
      <c r="N903" t="str">
        <f t="shared" si="114"/>
        <v>FOR</v>
      </c>
      <c r="O903" t="s">
        <v>69</v>
      </c>
      <c r="P903" t="s">
        <v>75</v>
      </c>
      <c r="Q903">
        <v>2016</v>
      </c>
      <c r="R903" s="4">
        <v>42608</v>
      </c>
      <c r="S903" s="2">
        <v>42612</v>
      </c>
      <c r="T903" s="2">
        <v>42608</v>
      </c>
      <c r="U903" s="4">
        <v>42668</v>
      </c>
      <c r="V903" t="s">
        <v>71</v>
      </c>
      <c r="W903" t="str">
        <f>"          1023940896"</f>
        <v xml:space="preserve">          1023940896</v>
      </c>
      <c r="X903">
        <v>447.2</v>
      </c>
      <c r="Y903">
        <v>0</v>
      </c>
      <c r="Z903" s="5">
        <v>430</v>
      </c>
      <c r="AA903" s="3">
        <v>129</v>
      </c>
      <c r="AB903" s="5">
        <v>55470</v>
      </c>
      <c r="AC903">
        <v>430</v>
      </c>
      <c r="AD903">
        <v>129</v>
      </c>
      <c r="AE903" s="1">
        <v>55470</v>
      </c>
      <c r="AF903">
        <v>17.2</v>
      </c>
      <c r="AJ903">
        <v>0</v>
      </c>
      <c r="AK903">
        <v>0</v>
      </c>
      <c r="AL903">
        <v>0</v>
      </c>
      <c r="AM903">
        <v>0</v>
      </c>
      <c r="AN903">
        <v>0</v>
      </c>
      <c r="AO903">
        <v>0</v>
      </c>
      <c r="AP903" s="2">
        <v>42831</v>
      </c>
      <c r="AQ903" t="s">
        <v>72</v>
      </c>
      <c r="AR903" t="s">
        <v>72</v>
      </c>
      <c r="AS903">
        <v>720</v>
      </c>
      <c r="AT903" s="4">
        <v>42797</v>
      </c>
      <c r="AU903" t="s">
        <v>73</v>
      </c>
      <c r="AV903">
        <v>720</v>
      </c>
      <c r="AW903" s="4">
        <v>42797</v>
      </c>
      <c r="BC903">
        <v>17.2</v>
      </c>
      <c r="BD903">
        <v>0</v>
      </c>
      <c r="BN903" t="s">
        <v>74</v>
      </c>
    </row>
    <row r="904" spans="1:66">
      <c r="A904">
        <v>101130</v>
      </c>
      <c r="B904" t="s">
        <v>239</v>
      </c>
      <c r="C904" s="1">
        <v>43300101</v>
      </c>
      <c r="D904" t="s">
        <v>67</v>
      </c>
      <c r="H904" t="str">
        <f t="shared" si="115"/>
        <v>09238800156</v>
      </c>
      <c r="I904" t="str">
        <f t="shared" si="115"/>
        <v>09238800156</v>
      </c>
      <c r="K904" t="str">
        <f>""</f>
        <v/>
      </c>
      <c r="M904" t="s">
        <v>68</v>
      </c>
      <c r="N904" t="str">
        <f t="shared" si="114"/>
        <v>FOR</v>
      </c>
      <c r="O904" t="s">
        <v>69</v>
      </c>
      <c r="P904" t="s">
        <v>75</v>
      </c>
      <c r="Q904">
        <v>2016</v>
      </c>
      <c r="R904" s="4">
        <v>42608</v>
      </c>
      <c r="S904" s="2">
        <v>42612</v>
      </c>
      <c r="T904" s="2">
        <v>42608</v>
      </c>
      <c r="U904" s="4">
        <v>42668</v>
      </c>
      <c r="V904" t="s">
        <v>71</v>
      </c>
      <c r="W904" t="str">
        <f>"          1023940897"</f>
        <v xml:space="preserve">          1023940897</v>
      </c>
      <c r="X904">
        <v>447.2</v>
      </c>
      <c r="Y904">
        <v>0</v>
      </c>
      <c r="Z904" s="5">
        <v>430</v>
      </c>
      <c r="AA904" s="3">
        <v>129</v>
      </c>
      <c r="AB904" s="5">
        <v>55470</v>
      </c>
      <c r="AC904">
        <v>430</v>
      </c>
      <c r="AD904">
        <v>129</v>
      </c>
      <c r="AE904" s="1">
        <v>55470</v>
      </c>
      <c r="AF904">
        <v>17.2</v>
      </c>
      <c r="AJ904">
        <v>0</v>
      </c>
      <c r="AK904">
        <v>0</v>
      </c>
      <c r="AL904">
        <v>0</v>
      </c>
      <c r="AM904">
        <v>0</v>
      </c>
      <c r="AN904">
        <v>0</v>
      </c>
      <c r="AO904">
        <v>0</v>
      </c>
      <c r="AP904" s="2">
        <v>42831</v>
      </c>
      <c r="AQ904" t="s">
        <v>72</v>
      </c>
      <c r="AR904" t="s">
        <v>72</v>
      </c>
      <c r="AS904">
        <v>720</v>
      </c>
      <c r="AT904" s="4">
        <v>42797</v>
      </c>
      <c r="AU904" t="s">
        <v>73</v>
      </c>
      <c r="AV904">
        <v>720</v>
      </c>
      <c r="AW904" s="4">
        <v>42797</v>
      </c>
      <c r="BC904">
        <v>17.2</v>
      </c>
      <c r="BD904">
        <v>0</v>
      </c>
      <c r="BN904" t="s">
        <v>74</v>
      </c>
    </row>
    <row r="905" spans="1:66">
      <c r="A905">
        <v>101130</v>
      </c>
      <c r="B905" t="s">
        <v>239</v>
      </c>
      <c r="C905" s="1">
        <v>43300101</v>
      </c>
      <c r="D905" t="s">
        <v>67</v>
      </c>
      <c r="H905" t="str">
        <f t="shared" si="115"/>
        <v>09238800156</v>
      </c>
      <c r="I905" t="str">
        <f t="shared" si="115"/>
        <v>09238800156</v>
      </c>
      <c r="K905" t="str">
        <f>""</f>
        <v/>
      </c>
      <c r="M905" t="s">
        <v>68</v>
      </c>
      <c r="N905" t="str">
        <f t="shared" si="114"/>
        <v>FOR</v>
      </c>
      <c r="O905" t="s">
        <v>69</v>
      </c>
      <c r="P905" t="s">
        <v>75</v>
      </c>
      <c r="Q905">
        <v>2016</v>
      </c>
      <c r="R905" s="4">
        <v>42608</v>
      </c>
      <c r="S905" s="2">
        <v>42612</v>
      </c>
      <c r="T905" s="2">
        <v>42608</v>
      </c>
      <c r="U905" s="4">
        <v>42668</v>
      </c>
      <c r="V905" t="s">
        <v>71</v>
      </c>
      <c r="W905" t="str">
        <f>"          1023940898"</f>
        <v xml:space="preserve">          1023940898</v>
      </c>
      <c r="X905">
        <v>447.2</v>
      </c>
      <c r="Y905">
        <v>0</v>
      </c>
      <c r="Z905" s="5">
        <v>430</v>
      </c>
      <c r="AA905" s="3">
        <v>129</v>
      </c>
      <c r="AB905" s="5">
        <v>55470</v>
      </c>
      <c r="AC905">
        <v>430</v>
      </c>
      <c r="AD905">
        <v>129</v>
      </c>
      <c r="AE905" s="1">
        <v>55470</v>
      </c>
      <c r="AF905">
        <v>17.2</v>
      </c>
      <c r="AJ905">
        <v>0</v>
      </c>
      <c r="AK905">
        <v>0</v>
      </c>
      <c r="AL905">
        <v>0</v>
      </c>
      <c r="AM905">
        <v>0</v>
      </c>
      <c r="AN905">
        <v>0</v>
      </c>
      <c r="AO905">
        <v>0</v>
      </c>
      <c r="AP905" s="2">
        <v>42831</v>
      </c>
      <c r="AQ905" t="s">
        <v>72</v>
      </c>
      <c r="AR905" t="s">
        <v>72</v>
      </c>
      <c r="AS905">
        <v>720</v>
      </c>
      <c r="AT905" s="4">
        <v>42797</v>
      </c>
      <c r="AU905" t="s">
        <v>73</v>
      </c>
      <c r="AV905">
        <v>720</v>
      </c>
      <c r="AW905" s="4">
        <v>42797</v>
      </c>
      <c r="BC905">
        <v>17.2</v>
      </c>
      <c r="BD905">
        <v>0</v>
      </c>
      <c r="BN905" t="s">
        <v>74</v>
      </c>
    </row>
    <row r="906" spans="1:66">
      <c r="A906">
        <v>101130</v>
      </c>
      <c r="B906" t="s">
        <v>239</v>
      </c>
      <c r="C906" s="1">
        <v>43300101</v>
      </c>
      <c r="D906" t="s">
        <v>67</v>
      </c>
      <c r="H906" t="str">
        <f t="shared" si="115"/>
        <v>09238800156</v>
      </c>
      <c r="I906" t="str">
        <f t="shared" si="115"/>
        <v>09238800156</v>
      </c>
      <c r="K906" t="str">
        <f>""</f>
        <v/>
      </c>
      <c r="M906" t="s">
        <v>68</v>
      </c>
      <c r="N906" t="str">
        <f t="shared" si="114"/>
        <v>FOR</v>
      </c>
      <c r="O906" t="s">
        <v>69</v>
      </c>
      <c r="P906" t="s">
        <v>75</v>
      </c>
      <c r="Q906">
        <v>2016</v>
      </c>
      <c r="R906" s="4">
        <v>42611</v>
      </c>
      <c r="S906" s="2">
        <v>42612</v>
      </c>
      <c r="T906" s="2">
        <v>42611</v>
      </c>
      <c r="U906" s="4">
        <v>42671</v>
      </c>
      <c r="V906" t="s">
        <v>71</v>
      </c>
      <c r="W906" t="str">
        <f>"          1023941743"</f>
        <v xml:space="preserve">          1023941743</v>
      </c>
      <c r="X906" s="1">
        <v>1698.24</v>
      </c>
      <c r="Y906">
        <v>0</v>
      </c>
      <c r="Z906" s="5">
        <v>1392</v>
      </c>
      <c r="AA906" s="3">
        <v>126</v>
      </c>
      <c r="AB906" s="5">
        <v>175392</v>
      </c>
      <c r="AC906" s="1">
        <v>1392</v>
      </c>
      <c r="AD906">
        <v>126</v>
      </c>
      <c r="AE906" s="1">
        <v>175392</v>
      </c>
      <c r="AF906">
        <v>306.24</v>
      </c>
      <c r="AJ906">
        <v>0</v>
      </c>
      <c r="AK906">
        <v>0</v>
      </c>
      <c r="AL906">
        <v>0</v>
      </c>
      <c r="AM906">
        <v>0</v>
      </c>
      <c r="AN906">
        <v>0</v>
      </c>
      <c r="AO906">
        <v>0</v>
      </c>
      <c r="AP906" s="2">
        <v>42831</v>
      </c>
      <c r="AQ906" t="s">
        <v>72</v>
      </c>
      <c r="AR906" t="s">
        <v>72</v>
      </c>
      <c r="AS906">
        <v>720</v>
      </c>
      <c r="AT906" s="4">
        <v>42797</v>
      </c>
      <c r="AU906" t="s">
        <v>73</v>
      </c>
      <c r="AV906">
        <v>720</v>
      </c>
      <c r="AW906" s="4">
        <v>42797</v>
      </c>
      <c r="BC906">
        <v>306.24</v>
      </c>
      <c r="BD906">
        <v>0</v>
      </c>
      <c r="BN906" t="s">
        <v>74</v>
      </c>
    </row>
    <row r="907" spans="1:66" hidden="1">
      <c r="A907">
        <v>101138</v>
      </c>
      <c r="B907" t="s">
        <v>240</v>
      </c>
      <c r="C907" s="1">
        <v>43500101</v>
      </c>
      <c r="D907" t="s">
        <v>98</v>
      </c>
      <c r="H907" t="str">
        <f>"80123490155"</f>
        <v>80123490155</v>
      </c>
      <c r="I907" t="str">
        <f>""</f>
        <v/>
      </c>
      <c r="K907" t="str">
        <f>""</f>
        <v/>
      </c>
      <c r="M907" t="s">
        <v>68</v>
      </c>
      <c r="N907" t="str">
        <f>"ALTFIN"</f>
        <v>ALTFIN</v>
      </c>
      <c r="O907" t="s">
        <v>102</v>
      </c>
      <c r="P907" t="s">
        <v>82</v>
      </c>
      <c r="Q907">
        <v>2017</v>
      </c>
      <c r="R907" s="4">
        <v>42755</v>
      </c>
      <c r="S907" s="2">
        <v>42755</v>
      </c>
      <c r="T907" s="2">
        <v>42755</v>
      </c>
      <c r="U907" s="4">
        <v>42815</v>
      </c>
      <c r="V907" t="s">
        <v>71</v>
      </c>
      <c r="W907" t="str">
        <f>"                0120"</f>
        <v xml:space="preserve">                0120</v>
      </c>
      <c r="X907">
        <v>0</v>
      </c>
      <c r="Y907" s="1">
        <v>1010</v>
      </c>
      <c r="Z907" s="5">
        <v>1010</v>
      </c>
      <c r="AA907" s="3">
        <v>-57</v>
      </c>
      <c r="AB907" s="5">
        <v>-57570</v>
      </c>
      <c r="AC907" s="1">
        <v>1010</v>
      </c>
      <c r="AD907">
        <v>-57</v>
      </c>
      <c r="AE907" s="1">
        <v>-57570</v>
      </c>
      <c r="AF907">
        <v>0</v>
      </c>
      <c r="AJ907" s="1">
        <v>1010</v>
      </c>
      <c r="AK907" s="1">
        <v>1010</v>
      </c>
      <c r="AL907" s="1">
        <v>1010</v>
      </c>
      <c r="AM907" s="1">
        <v>1010</v>
      </c>
      <c r="AN907" s="1">
        <v>1010</v>
      </c>
      <c r="AO907" s="1">
        <v>1010</v>
      </c>
      <c r="AP907" s="2">
        <v>42831</v>
      </c>
      <c r="AQ907" t="s">
        <v>72</v>
      </c>
      <c r="AR907" t="s">
        <v>72</v>
      </c>
      <c r="AS907">
        <v>36</v>
      </c>
      <c r="AT907" s="4">
        <v>42758</v>
      </c>
      <c r="AV907">
        <v>36</v>
      </c>
      <c r="AW907" s="4">
        <v>42758</v>
      </c>
      <c r="BD907">
        <v>0</v>
      </c>
      <c r="BN907" t="s">
        <v>74</v>
      </c>
    </row>
    <row r="908" spans="1:66" hidden="1">
      <c r="A908">
        <v>101138</v>
      </c>
      <c r="B908" t="s">
        <v>240</v>
      </c>
      <c r="C908" s="1">
        <v>43500101</v>
      </c>
      <c r="D908" t="s">
        <v>98</v>
      </c>
      <c r="H908" t="str">
        <f>"80123490155"</f>
        <v>80123490155</v>
      </c>
      <c r="I908" t="str">
        <f>""</f>
        <v/>
      </c>
      <c r="K908" t="str">
        <f>""</f>
        <v/>
      </c>
      <c r="M908" t="s">
        <v>68</v>
      </c>
      <c r="N908" t="str">
        <f>"ALTFIN"</f>
        <v>ALTFIN</v>
      </c>
      <c r="O908" t="s">
        <v>102</v>
      </c>
      <c r="P908" t="s">
        <v>83</v>
      </c>
      <c r="Q908">
        <v>2017</v>
      </c>
      <c r="R908" s="4">
        <v>42786</v>
      </c>
      <c r="S908" s="2">
        <v>42787</v>
      </c>
      <c r="T908" s="2">
        <v>42787</v>
      </c>
      <c r="U908" s="4">
        <v>42847</v>
      </c>
      <c r="V908" t="s">
        <v>71</v>
      </c>
      <c r="W908" t="str">
        <f>"                0220"</f>
        <v xml:space="preserve">                0220</v>
      </c>
      <c r="X908">
        <v>0</v>
      </c>
      <c r="Y908" s="1">
        <v>1010</v>
      </c>
      <c r="Z908" s="5">
        <v>1010</v>
      </c>
      <c r="AA908" s="3">
        <v>-60</v>
      </c>
      <c r="AB908" s="5">
        <v>-60600</v>
      </c>
      <c r="AC908" s="1">
        <v>1010</v>
      </c>
      <c r="AD908">
        <v>-60</v>
      </c>
      <c r="AE908" s="1">
        <v>-60600</v>
      </c>
      <c r="AF908">
        <v>0</v>
      </c>
      <c r="AJ908" s="1">
        <v>1010</v>
      </c>
      <c r="AK908" s="1">
        <v>1010</v>
      </c>
      <c r="AL908" s="1">
        <v>1010</v>
      </c>
      <c r="AM908" s="1">
        <v>1010</v>
      </c>
      <c r="AN908" s="1">
        <v>1010</v>
      </c>
      <c r="AO908" s="1">
        <v>1010</v>
      </c>
      <c r="AP908" s="2">
        <v>42831</v>
      </c>
      <c r="AQ908" t="s">
        <v>72</v>
      </c>
      <c r="AR908" t="s">
        <v>72</v>
      </c>
      <c r="AS908">
        <v>516</v>
      </c>
      <c r="AT908" s="4">
        <v>42787</v>
      </c>
      <c r="AV908">
        <v>516</v>
      </c>
      <c r="AW908" s="4">
        <v>42787</v>
      </c>
      <c r="BD908">
        <v>0</v>
      </c>
      <c r="BN908" t="s">
        <v>74</v>
      </c>
    </row>
    <row r="909" spans="1:66" hidden="1">
      <c r="A909">
        <v>101138</v>
      </c>
      <c r="B909" t="s">
        <v>240</v>
      </c>
      <c r="C909" s="1">
        <v>43500101</v>
      </c>
      <c r="D909" t="s">
        <v>98</v>
      </c>
      <c r="H909" t="str">
        <f>"80123490155"</f>
        <v>80123490155</v>
      </c>
      <c r="I909" t="str">
        <f>""</f>
        <v/>
      </c>
      <c r="K909" t="str">
        <f>""</f>
        <v/>
      </c>
      <c r="M909" t="s">
        <v>68</v>
      </c>
      <c r="N909" t="str">
        <f>"ALTFIN"</f>
        <v>ALTFIN</v>
      </c>
      <c r="O909" t="s">
        <v>102</v>
      </c>
      <c r="P909" t="s">
        <v>84</v>
      </c>
      <c r="Q909">
        <v>2017</v>
      </c>
      <c r="R909" s="4">
        <v>42815</v>
      </c>
      <c r="S909" s="2">
        <v>42815</v>
      </c>
      <c r="T909" s="2">
        <v>42815</v>
      </c>
      <c r="U909" s="4">
        <v>42875</v>
      </c>
      <c r="V909" t="s">
        <v>71</v>
      </c>
      <c r="W909" t="str">
        <f>"                0321"</f>
        <v xml:space="preserve">                0321</v>
      </c>
      <c r="X909">
        <v>0</v>
      </c>
      <c r="Y909" s="1">
        <v>1010</v>
      </c>
      <c r="Z909" s="5">
        <v>1010</v>
      </c>
      <c r="AA909" s="3">
        <v>-60</v>
      </c>
      <c r="AB909" s="5">
        <v>-60600</v>
      </c>
      <c r="AC909" s="1">
        <v>1010</v>
      </c>
      <c r="AD909">
        <v>-60</v>
      </c>
      <c r="AE909" s="1">
        <v>-60600</v>
      </c>
      <c r="AF909">
        <v>0</v>
      </c>
      <c r="AJ909" s="1">
        <v>1010</v>
      </c>
      <c r="AK909" s="1">
        <v>1010</v>
      </c>
      <c r="AL909" s="1">
        <v>1010</v>
      </c>
      <c r="AM909" s="1">
        <v>1010</v>
      </c>
      <c r="AN909" s="1">
        <v>1010</v>
      </c>
      <c r="AO909" s="1">
        <v>1010</v>
      </c>
      <c r="AP909" s="2">
        <v>42831</v>
      </c>
      <c r="AQ909" t="s">
        <v>72</v>
      </c>
      <c r="AR909" t="s">
        <v>72</v>
      </c>
      <c r="AS909">
        <v>813</v>
      </c>
      <c r="AT909" s="4">
        <v>42815</v>
      </c>
      <c r="AV909">
        <v>813</v>
      </c>
      <c r="AW909" s="4">
        <v>42815</v>
      </c>
      <c r="BD909">
        <v>0</v>
      </c>
      <c r="BN909" t="s">
        <v>74</v>
      </c>
    </row>
    <row r="910" spans="1:66">
      <c r="A910">
        <v>101139</v>
      </c>
      <c r="B910" t="s">
        <v>241</v>
      </c>
      <c r="C910" s="1">
        <v>43300101</v>
      </c>
      <c r="D910" t="s">
        <v>67</v>
      </c>
      <c r="H910" t="str">
        <f>"03918040589"</f>
        <v>03918040589</v>
      </c>
      <c r="I910" t="str">
        <f>"01260981004"</f>
        <v>01260981004</v>
      </c>
      <c r="K910" t="str">
        <f>""</f>
        <v/>
      </c>
      <c r="M910" t="s">
        <v>68</v>
      </c>
      <c r="N910" t="str">
        <f>"FOR"</f>
        <v>FOR</v>
      </c>
      <c r="O910" t="s">
        <v>69</v>
      </c>
      <c r="P910" t="s">
        <v>75</v>
      </c>
      <c r="Q910">
        <v>2016</v>
      </c>
      <c r="R910" s="4">
        <v>42726</v>
      </c>
      <c r="S910" s="2">
        <v>42733</v>
      </c>
      <c r="T910" s="2">
        <v>42731</v>
      </c>
      <c r="U910" s="4">
        <v>42791</v>
      </c>
      <c r="V910" t="s">
        <v>71</v>
      </c>
      <c r="W910" t="str">
        <f>"          5200575585"</f>
        <v xml:space="preserve">          5200575585</v>
      </c>
      <c r="X910">
        <v>462.7</v>
      </c>
      <c r="Y910">
        <v>0</v>
      </c>
      <c r="Z910" s="5">
        <v>420.64</v>
      </c>
      <c r="AA910" s="3">
        <v>-23</v>
      </c>
      <c r="AB910" s="5">
        <v>-9674.7199999999993</v>
      </c>
      <c r="AC910">
        <v>420.64</v>
      </c>
      <c r="AD910">
        <v>-23</v>
      </c>
      <c r="AE910" s="1">
        <v>-9674.7199999999993</v>
      </c>
      <c r="AF910">
        <v>0</v>
      </c>
      <c r="AJ910">
        <v>0</v>
      </c>
      <c r="AK910">
        <v>0</v>
      </c>
      <c r="AL910">
        <v>0</v>
      </c>
      <c r="AM910">
        <v>0</v>
      </c>
      <c r="AN910">
        <v>0</v>
      </c>
      <c r="AO910">
        <v>0</v>
      </c>
      <c r="AP910" s="2">
        <v>42831</v>
      </c>
      <c r="AQ910" t="s">
        <v>72</v>
      </c>
      <c r="AR910" t="s">
        <v>72</v>
      </c>
      <c r="AS910">
        <v>243</v>
      </c>
      <c r="AT910" s="4">
        <v>42768</v>
      </c>
      <c r="AV910">
        <v>243</v>
      </c>
      <c r="AW910" s="4">
        <v>42768</v>
      </c>
      <c r="BD910">
        <v>0</v>
      </c>
      <c r="BN910" t="s">
        <v>74</v>
      </c>
    </row>
    <row r="911" spans="1:66" hidden="1">
      <c r="A911">
        <v>101149</v>
      </c>
      <c r="B911" t="s">
        <v>242</v>
      </c>
      <c r="C911" s="1">
        <v>43500101</v>
      </c>
      <c r="D911" t="s">
        <v>98</v>
      </c>
      <c r="H911" t="str">
        <f t="shared" ref="H911:I913" si="116">"01277730030"</f>
        <v>01277730030</v>
      </c>
      <c r="I911" t="str">
        <f t="shared" si="116"/>
        <v>01277730030</v>
      </c>
      <c r="K911" t="str">
        <f>""</f>
        <v/>
      </c>
      <c r="M911" t="s">
        <v>68</v>
      </c>
      <c r="N911" t="str">
        <f>"ALTFIN"</f>
        <v>ALTFIN</v>
      </c>
      <c r="O911" t="s">
        <v>102</v>
      </c>
      <c r="P911" t="s">
        <v>82</v>
      </c>
      <c r="Q911">
        <v>2017</v>
      </c>
      <c r="R911" s="4">
        <v>42755</v>
      </c>
      <c r="S911" s="2">
        <v>42755</v>
      </c>
      <c r="T911" s="2">
        <v>42755</v>
      </c>
      <c r="U911" s="4">
        <v>42815</v>
      </c>
      <c r="V911" t="s">
        <v>71</v>
      </c>
      <c r="W911" t="str">
        <f>"                0120"</f>
        <v xml:space="preserve">                0120</v>
      </c>
      <c r="X911">
        <v>0</v>
      </c>
      <c r="Y911">
        <v>754</v>
      </c>
      <c r="Z911" s="3">
        <v>754</v>
      </c>
      <c r="AA911" s="3">
        <v>-57</v>
      </c>
      <c r="AB911" s="5">
        <v>-42978</v>
      </c>
      <c r="AC911">
        <v>754</v>
      </c>
      <c r="AD911">
        <v>-57</v>
      </c>
      <c r="AE911" s="1">
        <v>-42978</v>
      </c>
      <c r="AF911">
        <v>0</v>
      </c>
      <c r="AJ911">
        <v>754</v>
      </c>
      <c r="AK911">
        <v>754</v>
      </c>
      <c r="AL911">
        <v>754</v>
      </c>
      <c r="AM911">
        <v>754</v>
      </c>
      <c r="AN911">
        <v>754</v>
      </c>
      <c r="AO911">
        <v>754</v>
      </c>
      <c r="AP911" s="2">
        <v>42831</v>
      </c>
      <c r="AQ911" t="s">
        <v>72</v>
      </c>
      <c r="AR911" t="s">
        <v>72</v>
      </c>
      <c r="AS911">
        <v>37</v>
      </c>
      <c r="AT911" s="4">
        <v>42758</v>
      </c>
      <c r="AV911">
        <v>37</v>
      </c>
      <c r="AW911" s="4">
        <v>42758</v>
      </c>
      <c r="BD911">
        <v>0</v>
      </c>
      <c r="BN911" t="s">
        <v>74</v>
      </c>
    </row>
    <row r="912" spans="1:66" hidden="1">
      <c r="A912">
        <v>101149</v>
      </c>
      <c r="B912" t="s">
        <v>242</v>
      </c>
      <c r="C912" s="1">
        <v>43500101</v>
      </c>
      <c r="D912" t="s">
        <v>98</v>
      </c>
      <c r="H912" t="str">
        <f t="shared" si="116"/>
        <v>01277730030</v>
      </c>
      <c r="I912" t="str">
        <f t="shared" si="116"/>
        <v>01277730030</v>
      </c>
      <c r="K912" t="str">
        <f>""</f>
        <v/>
      </c>
      <c r="M912" t="s">
        <v>68</v>
      </c>
      <c r="N912" t="str">
        <f>"ALTFIN"</f>
        <v>ALTFIN</v>
      </c>
      <c r="O912" t="s">
        <v>102</v>
      </c>
      <c r="P912" t="s">
        <v>83</v>
      </c>
      <c r="Q912">
        <v>2017</v>
      </c>
      <c r="R912" s="4">
        <v>42786</v>
      </c>
      <c r="S912" s="2">
        <v>42787</v>
      </c>
      <c r="T912" s="2">
        <v>42787</v>
      </c>
      <c r="U912" s="4">
        <v>42847</v>
      </c>
      <c r="V912" t="s">
        <v>71</v>
      </c>
      <c r="W912" t="str">
        <f>"                0220"</f>
        <v xml:space="preserve">                0220</v>
      </c>
      <c r="X912">
        <v>0</v>
      </c>
      <c r="Y912" s="1">
        <v>1574</v>
      </c>
      <c r="Z912" s="5">
        <v>1574</v>
      </c>
      <c r="AA912" s="3">
        <v>-60</v>
      </c>
      <c r="AB912" s="5">
        <v>-94440</v>
      </c>
      <c r="AC912" s="1">
        <v>1574</v>
      </c>
      <c r="AD912">
        <v>-60</v>
      </c>
      <c r="AE912" s="1">
        <v>-94440</v>
      </c>
      <c r="AF912">
        <v>0</v>
      </c>
      <c r="AJ912" s="1">
        <v>1574</v>
      </c>
      <c r="AK912" s="1">
        <v>1574</v>
      </c>
      <c r="AL912" s="1">
        <v>1574</v>
      </c>
      <c r="AM912" s="1">
        <v>1574</v>
      </c>
      <c r="AN912" s="1">
        <v>1574</v>
      </c>
      <c r="AO912" s="1">
        <v>1574</v>
      </c>
      <c r="AP912" s="2">
        <v>42831</v>
      </c>
      <c r="AQ912" t="s">
        <v>72</v>
      </c>
      <c r="AR912" t="s">
        <v>72</v>
      </c>
      <c r="AS912">
        <v>517</v>
      </c>
      <c r="AT912" s="4">
        <v>42787</v>
      </c>
      <c r="AV912">
        <v>517</v>
      </c>
      <c r="AW912" s="4">
        <v>42787</v>
      </c>
      <c r="BD912">
        <v>0</v>
      </c>
      <c r="BN912" t="s">
        <v>74</v>
      </c>
    </row>
    <row r="913" spans="1:66" hidden="1">
      <c r="A913">
        <v>101149</v>
      </c>
      <c r="B913" t="s">
        <v>242</v>
      </c>
      <c r="C913" s="1">
        <v>43500101</v>
      </c>
      <c r="D913" t="s">
        <v>98</v>
      </c>
      <c r="H913" t="str">
        <f t="shared" si="116"/>
        <v>01277730030</v>
      </c>
      <c r="I913" t="str">
        <f t="shared" si="116"/>
        <v>01277730030</v>
      </c>
      <c r="K913" t="str">
        <f>""</f>
        <v/>
      </c>
      <c r="M913" t="s">
        <v>68</v>
      </c>
      <c r="N913" t="str">
        <f>"ALTFIN"</f>
        <v>ALTFIN</v>
      </c>
      <c r="O913" t="s">
        <v>102</v>
      </c>
      <c r="P913" t="s">
        <v>84</v>
      </c>
      <c r="Q913">
        <v>2017</v>
      </c>
      <c r="R913" s="4">
        <v>42815</v>
      </c>
      <c r="S913" s="2">
        <v>42815</v>
      </c>
      <c r="T913" s="2">
        <v>42815</v>
      </c>
      <c r="U913" s="4">
        <v>42875</v>
      </c>
      <c r="V913" t="s">
        <v>71</v>
      </c>
      <c r="W913" t="str">
        <f>"                0321"</f>
        <v xml:space="preserve">                0321</v>
      </c>
      <c r="X913">
        <v>0</v>
      </c>
      <c r="Y913" s="1">
        <v>1574</v>
      </c>
      <c r="Z913" s="5">
        <v>1574</v>
      </c>
      <c r="AA913" s="3">
        <v>-60</v>
      </c>
      <c r="AB913" s="5">
        <v>-94440</v>
      </c>
      <c r="AC913" s="1">
        <v>1574</v>
      </c>
      <c r="AD913">
        <v>-60</v>
      </c>
      <c r="AE913" s="1">
        <v>-94440</v>
      </c>
      <c r="AF913">
        <v>0</v>
      </c>
      <c r="AJ913" s="1">
        <v>1574</v>
      </c>
      <c r="AK913" s="1">
        <v>1574</v>
      </c>
      <c r="AL913" s="1">
        <v>1574</v>
      </c>
      <c r="AM913" s="1">
        <v>1574</v>
      </c>
      <c r="AN913" s="1">
        <v>1574</v>
      </c>
      <c r="AO913" s="1">
        <v>1574</v>
      </c>
      <c r="AP913" s="2">
        <v>42831</v>
      </c>
      <c r="AQ913" t="s">
        <v>72</v>
      </c>
      <c r="AR913" t="s">
        <v>72</v>
      </c>
      <c r="AS913">
        <v>814</v>
      </c>
      <c r="AT913" s="4">
        <v>42815</v>
      </c>
      <c r="AV913">
        <v>814</v>
      </c>
      <c r="AW913" s="4">
        <v>42815</v>
      </c>
      <c r="BD913">
        <v>0</v>
      </c>
      <c r="BN913" t="s">
        <v>74</v>
      </c>
    </row>
    <row r="914" spans="1:66">
      <c r="A914">
        <v>101150</v>
      </c>
      <c r="B914" t="s">
        <v>243</v>
      </c>
      <c r="C914" s="1">
        <v>43300101</v>
      </c>
      <c r="D914" t="s">
        <v>67</v>
      </c>
      <c r="H914" t="str">
        <f>"07146020586"</f>
        <v>07146020586</v>
      </c>
      <c r="I914" t="str">
        <f>"01696821006"</f>
        <v>01696821006</v>
      </c>
      <c r="K914" t="str">
        <f>""</f>
        <v/>
      </c>
      <c r="M914" t="s">
        <v>68</v>
      </c>
      <c r="N914" t="str">
        <f t="shared" ref="N914:N938" si="117">"FOR"</f>
        <v>FOR</v>
      </c>
      <c r="O914" t="s">
        <v>69</v>
      </c>
      <c r="P914" t="s">
        <v>75</v>
      </c>
      <c r="Q914">
        <v>2016</v>
      </c>
      <c r="R914" s="4">
        <v>42556</v>
      </c>
      <c r="S914" s="2">
        <v>42558</v>
      </c>
      <c r="T914" s="2">
        <v>42557</v>
      </c>
      <c r="U914" s="4">
        <v>42617</v>
      </c>
      <c r="V914" t="s">
        <v>71</v>
      </c>
      <c r="W914" t="str">
        <f>"          1020134019"</f>
        <v xml:space="preserve">          1020134019</v>
      </c>
      <c r="X914">
        <v>910.85</v>
      </c>
      <c r="Y914">
        <v>0</v>
      </c>
      <c r="Z914" s="5">
        <v>746.6</v>
      </c>
      <c r="AA914" s="3">
        <v>178</v>
      </c>
      <c r="AB914" s="5">
        <v>132894.79999999999</v>
      </c>
      <c r="AC914">
        <v>746.6</v>
      </c>
      <c r="AD914">
        <v>178</v>
      </c>
      <c r="AE914" s="1">
        <v>132894.79999999999</v>
      </c>
      <c r="AF914">
        <v>164.25</v>
      </c>
      <c r="AJ914">
        <v>0</v>
      </c>
      <c r="AK914">
        <v>0</v>
      </c>
      <c r="AL914">
        <v>0</v>
      </c>
      <c r="AM914">
        <v>0</v>
      </c>
      <c r="AN914">
        <v>0</v>
      </c>
      <c r="AO914">
        <v>0</v>
      </c>
      <c r="AP914" s="2">
        <v>42831</v>
      </c>
      <c r="AQ914" t="s">
        <v>72</v>
      </c>
      <c r="AR914" t="s">
        <v>72</v>
      </c>
      <c r="AS914">
        <v>655</v>
      </c>
      <c r="AT914" s="4">
        <v>42795</v>
      </c>
      <c r="AU914" t="s">
        <v>73</v>
      </c>
      <c r="AV914">
        <v>655</v>
      </c>
      <c r="AW914" s="4">
        <v>42795</v>
      </c>
      <c r="BD914">
        <v>164.25</v>
      </c>
      <c r="BN914" t="s">
        <v>74</v>
      </c>
    </row>
    <row r="915" spans="1:66">
      <c r="A915">
        <v>101150</v>
      </c>
      <c r="B915" t="s">
        <v>243</v>
      </c>
      <c r="C915" s="1">
        <v>43300101</v>
      </c>
      <c r="D915" t="s">
        <v>67</v>
      </c>
      <c r="H915" t="str">
        <f>"07146020586"</f>
        <v>07146020586</v>
      </c>
      <c r="I915" t="str">
        <f>"01696821006"</f>
        <v>01696821006</v>
      </c>
      <c r="K915" t="str">
        <f>""</f>
        <v/>
      </c>
      <c r="M915" t="s">
        <v>68</v>
      </c>
      <c r="N915" t="str">
        <f t="shared" si="117"/>
        <v>FOR</v>
      </c>
      <c r="O915" t="s">
        <v>69</v>
      </c>
      <c r="P915" t="s">
        <v>75</v>
      </c>
      <c r="Q915">
        <v>2016</v>
      </c>
      <c r="R915" s="4">
        <v>42572</v>
      </c>
      <c r="S915" s="2">
        <v>42583</v>
      </c>
      <c r="T915" s="2">
        <v>42577</v>
      </c>
      <c r="U915" s="4">
        <v>42637</v>
      </c>
      <c r="V915" t="s">
        <v>71</v>
      </c>
      <c r="W915" t="str">
        <f>"          1020137808"</f>
        <v xml:space="preserve">          1020137808</v>
      </c>
      <c r="X915">
        <v>577.35</v>
      </c>
      <c r="Y915">
        <v>0</v>
      </c>
      <c r="Z915" s="5">
        <v>473.24</v>
      </c>
      <c r="AA915" s="3">
        <v>158</v>
      </c>
      <c r="AB915" s="5">
        <v>74771.92</v>
      </c>
      <c r="AC915">
        <v>473.24</v>
      </c>
      <c r="AD915">
        <v>158</v>
      </c>
      <c r="AE915" s="1">
        <v>74771.92</v>
      </c>
      <c r="AF915">
        <v>104.11</v>
      </c>
      <c r="AJ915">
        <v>0</v>
      </c>
      <c r="AK915">
        <v>0</v>
      </c>
      <c r="AL915">
        <v>0</v>
      </c>
      <c r="AM915">
        <v>0</v>
      </c>
      <c r="AN915">
        <v>0</v>
      </c>
      <c r="AO915">
        <v>0</v>
      </c>
      <c r="AP915" s="2">
        <v>42831</v>
      </c>
      <c r="AQ915" t="s">
        <v>72</v>
      </c>
      <c r="AR915" t="s">
        <v>72</v>
      </c>
      <c r="AS915">
        <v>655</v>
      </c>
      <c r="AT915" s="4">
        <v>42795</v>
      </c>
      <c r="AU915" t="s">
        <v>73</v>
      </c>
      <c r="AV915">
        <v>655</v>
      </c>
      <c r="AW915" s="4">
        <v>42795</v>
      </c>
      <c r="BD915">
        <v>104.11</v>
      </c>
      <c r="BN915" t="s">
        <v>74</v>
      </c>
    </row>
    <row r="916" spans="1:66">
      <c r="A916">
        <v>101150</v>
      </c>
      <c r="B916" t="s">
        <v>243</v>
      </c>
      <c r="C916" s="1">
        <v>43300101</v>
      </c>
      <c r="D916" t="s">
        <v>67</v>
      </c>
      <c r="H916" t="str">
        <f>"07146020586"</f>
        <v>07146020586</v>
      </c>
      <c r="I916" t="str">
        <f>"01696821006"</f>
        <v>01696821006</v>
      </c>
      <c r="K916" t="str">
        <f>""</f>
        <v/>
      </c>
      <c r="M916" t="s">
        <v>68</v>
      </c>
      <c r="N916" t="str">
        <f t="shared" si="117"/>
        <v>FOR</v>
      </c>
      <c r="O916" t="s">
        <v>69</v>
      </c>
      <c r="P916" t="s">
        <v>70</v>
      </c>
      <c r="Q916">
        <v>2016</v>
      </c>
      <c r="R916" s="4">
        <v>42585</v>
      </c>
      <c r="S916" s="2">
        <v>42587</v>
      </c>
      <c r="T916" s="2">
        <v>42587</v>
      </c>
      <c r="U916" s="4">
        <v>42647</v>
      </c>
      <c r="V916" t="s">
        <v>71</v>
      </c>
      <c r="W916" t="str">
        <f>"          1020140891"</f>
        <v xml:space="preserve">          1020140891</v>
      </c>
      <c r="X916">
        <v>223.92</v>
      </c>
      <c r="Y916">
        <v>0</v>
      </c>
      <c r="Z916" s="5">
        <v>183.54</v>
      </c>
      <c r="AA916" s="3">
        <v>148</v>
      </c>
      <c r="AB916" s="5">
        <v>27163.919999999998</v>
      </c>
      <c r="AC916">
        <v>183.54</v>
      </c>
      <c r="AD916">
        <v>148</v>
      </c>
      <c r="AE916" s="1">
        <v>27163.919999999998</v>
      </c>
      <c r="AF916">
        <v>40.380000000000003</v>
      </c>
      <c r="AJ916">
        <v>0</v>
      </c>
      <c r="AK916">
        <v>0</v>
      </c>
      <c r="AL916">
        <v>0</v>
      </c>
      <c r="AM916">
        <v>0</v>
      </c>
      <c r="AN916">
        <v>0</v>
      </c>
      <c r="AO916">
        <v>0</v>
      </c>
      <c r="AP916" s="2">
        <v>42831</v>
      </c>
      <c r="AQ916" t="s">
        <v>72</v>
      </c>
      <c r="AR916" t="s">
        <v>72</v>
      </c>
      <c r="AS916">
        <v>655</v>
      </c>
      <c r="AT916" s="4">
        <v>42795</v>
      </c>
      <c r="AU916" t="s">
        <v>73</v>
      </c>
      <c r="AV916">
        <v>655</v>
      </c>
      <c r="AW916" s="4">
        <v>42795</v>
      </c>
      <c r="BC916">
        <v>40.380000000000003</v>
      </c>
      <c r="BD916">
        <v>0</v>
      </c>
      <c r="BN916" t="s">
        <v>74</v>
      </c>
    </row>
    <row r="917" spans="1:66">
      <c r="A917">
        <v>101162</v>
      </c>
      <c r="B917" t="s">
        <v>244</v>
      </c>
      <c r="C917" s="1">
        <v>43300101</v>
      </c>
      <c r="D917" t="s">
        <v>67</v>
      </c>
      <c r="H917" t="str">
        <f>"00348170101"</f>
        <v>00348170101</v>
      </c>
      <c r="I917" t="str">
        <f>"00348170101"</f>
        <v>00348170101</v>
      </c>
      <c r="K917" t="str">
        <f>""</f>
        <v/>
      </c>
      <c r="M917" t="s">
        <v>68</v>
      </c>
      <c r="N917" t="str">
        <f t="shared" si="117"/>
        <v>FOR</v>
      </c>
      <c r="O917" t="s">
        <v>69</v>
      </c>
      <c r="P917" t="s">
        <v>75</v>
      </c>
      <c r="Q917">
        <v>2017</v>
      </c>
      <c r="R917" s="4">
        <v>42769</v>
      </c>
      <c r="S917" s="2">
        <v>42782</v>
      </c>
      <c r="T917" s="2">
        <v>42772</v>
      </c>
      <c r="U917" s="4">
        <v>42832</v>
      </c>
      <c r="V917" t="s">
        <v>71</v>
      </c>
      <c r="W917" t="str">
        <f>"          1000000114"</f>
        <v xml:space="preserve">          1000000114</v>
      </c>
      <c r="X917" s="1">
        <v>56000</v>
      </c>
      <c r="Y917">
        <v>0</v>
      </c>
      <c r="Z917" s="5">
        <v>56000</v>
      </c>
      <c r="AA917" s="3">
        <v>-39</v>
      </c>
      <c r="AB917" s="5">
        <v>-2184000</v>
      </c>
      <c r="AC917" s="1">
        <v>56000</v>
      </c>
      <c r="AD917">
        <v>-39</v>
      </c>
      <c r="AE917" s="1">
        <v>-2184000</v>
      </c>
      <c r="AF917">
        <v>0</v>
      </c>
      <c r="AJ917">
        <v>0</v>
      </c>
      <c r="AK917" s="1">
        <v>56000</v>
      </c>
      <c r="AL917" s="1">
        <v>56000</v>
      </c>
      <c r="AM917">
        <v>0</v>
      </c>
      <c r="AN917" s="1">
        <v>56000</v>
      </c>
      <c r="AO917" s="1">
        <v>56000</v>
      </c>
      <c r="AP917" s="2">
        <v>42831</v>
      </c>
      <c r="AQ917" t="s">
        <v>72</v>
      </c>
      <c r="AR917" t="s">
        <v>72</v>
      </c>
      <c r="AS917">
        <v>582</v>
      </c>
      <c r="AT917" s="4">
        <v>42793</v>
      </c>
      <c r="AV917">
        <v>582</v>
      </c>
      <c r="AW917" s="4">
        <v>42793</v>
      </c>
      <c r="BD917">
        <v>0</v>
      </c>
      <c r="BN917" t="s">
        <v>74</v>
      </c>
    </row>
    <row r="918" spans="1:66">
      <c r="A918">
        <v>101170</v>
      </c>
      <c r="B918" t="s">
        <v>245</v>
      </c>
      <c r="C918" s="1">
        <v>43300101</v>
      </c>
      <c r="D918" t="s">
        <v>67</v>
      </c>
      <c r="H918" t="str">
        <f t="shared" ref="H918:I935" si="118">"00527500540"</f>
        <v>00527500540</v>
      </c>
      <c r="I918" t="str">
        <f t="shared" si="118"/>
        <v>00527500540</v>
      </c>
      <c r="K918" t="str">
        <f>""</f>
        <v/>
      </c>
      <c r="M918" t="s">
        <v>68</v>
      </c>
      <c r="N918" t="str">
        <f t="shared" si="117"/>
        <v>FOR</v>
      </c>
      <c r="O918" t="s">
        <v>69</v>
      </c>
      <c r="P918" t="s">
        <v>75</v>
      </c>
      <c r="Q918">
        <v>2016</v>
      </c>
      <c r="R918" s="4">
        <v>42443</v>
      </c>
      <c r="S918" s="2">
        <v>42461</v>
      </c>
      <c r="T918" s="2">
        <v>42450</v>
      </c>
      <c r="U918" s="4">
        <v>42510</v>
      </c>
      <c r="V918" t="s">
        <v>71</v>
      </c>
      <c r="W918" t="str">
        <f>"              200221"</f>
        <v xml:space="preserve">              200221</v>
      </c>
      <c r="X918" s="1">
        <v>2257</v>
      </c>
      <c r="Y918">
        <v>0</v>
      </c>
      <c r="Z918" s="5">
        <v>1850</v>
      </c>
      <c r="AA918" s="3">
        <v>265</v>
      </c>
      <c r="AB918" s="5">
        <v>490250</v>
      </c>
      <c r="AC918" s="1">
        <v>1850</v>
      </c>
      <c r="AD918">
        <v>265</v>
      </c>
      <c r="AE918" s="1">
        <v>490250</v>
      </c>
      <c r="AF918">
        <v>0</v>
      </c>
      <c r="AJ918">
        <v>0</v>
      </c>
      <c r="AK918">
        <v>0</v>
      </c>
      <c r="AL918">
        <v>0</v>
      </c>
      <c r="AM918">
        <v>0</v>
      </c>
      <c r="AN918">
        <v>0</v>
      </c>
      <c r="AO918">
        <v>0</v>
      </c>
      <c r="AP918" s="2">
        <v>42831</v>
      </c>
      <c r="AQ918" t="s">
        <v>72</v>
      </c>
      <c r="AR918" t="s">
        <v>72</v>
      </c>
      <c r="AS918">
        <v>370</v>
      </c>
      <c r="AT918" s="4">
        <v>42775</v>
      </c>
      <c r="AU918" t="s">
        <v>73</v>
      </c>
      <c r="AV918">
        <v>370</v>
      </c>
      <c r="AW918" s="4">
        <v>42775</v>
      </c>
      <c r="BD918">
        <v>0</v>
      </c>
      <c r="BN918" t="s">
        <v>74</v>
      </c>
    </row>
    <row r="919" spans="1:66">
      <c r="A919">
        <v>101170</v>
      </c>
      <c r="B919" t="s">
        <v>245</v>
      </c>
      <c r="C919" s="1">
        <v>43300101</v>
      </c>
      <c r="D919" t="s">
        <v>67</v>
      </c>
      <c r="H919" t="str">
        <f t="shared" si="118"/>
        <v>00527500540</v>
      </c>
      <c r="I919" t="str">
        <f t="shared" si="118"/>
        <v>00527500540</v>
      </c>
      <c r="K919" t="str">
        <f>""</f>
        <v/>
      </c>
      <c r="M919" t="s">
        <v>68</v>
      </c>
      <c r="N919" t="str">
        <f t="shared" si="117"/>
        <v>FOR</v>
      </c>
      <c r="O919" t="s">
        <v>69</v>
      </c>
      <c r="P919" t="s">
        <v>75</v>
      </c>
      <c r="Q919">
        <v>2016</v>
      </c>
      <c r="R919" s="4">
        <v>42443</v>
      </c>
      <c r="S919" s="2">
        <v>42461</v>
      </c>
      <c r="T919" s="2">
        <v>42450</v>
      </c>
      <c r="U919" s="4">
        <v>42510</v>
      </c>
      <c r="V919" t="s">
        <v>71</v>
      </c>
      <c r="W919" t="str">
        <f>"              200222"</f>
        <v xml:space="preserve">              200222</v>
      </c>
      <c r="X919" s="1">
        <v>4941</v>
      </c>
      <c r="Y919">
        <v>0</v>
      </c>
      <c r="Z919" s="5">
        <v>4050</v>
      </c>
      <c r="AA919" s="3">
        <v>265</v>
      </c>
      <c r="AB919" s="5">
        <v>1073250</v>
      </c>
      <c r="AC919" s="1">
        <v>4050</v>
      </c>
      <c r="AD919">
        <v>265</v>
      </c>
      <c r="AE919" s="1">
        <v>1073250</v>
      </c>
      <c r="AF919">
        <v>0</v>
      </c>
      <c r="AJ919">
        <v>0</v>
      </c>
      <c r="AK919">
        <v>0</v>
      </c>
      <c r="AL919">
        <v>0</v>
      </c>
      <c r="AM919">
        <v>0</v>
      </c>
      <c r="AN919">
        <v>0</v>
      </c>
      <c r="AO919">
        <v>0</v>
      </c>
      <c r="AP919" s="2">
        <v>42831</v>
      </c>
      <c r="AQ919" t="s">
        <v>72</v>
      </c>
      <c r="AR919" t="s">
        <v>72</v>
      </c>
      <c r="AS919">
        <v>370</v>
      </c>
      <c r="AT919" s="4">
        <v>42775</v>
      </c>
      <c r="AU919" t="s">
        <v>73</v>
      </c>
      <c r="AV919">
        <v>370</v>
      </c>
      <c r="AW919" s="4">
        <v>42775</v>
      </c>
      <c r="BD919">
        <v>0</v>
      </c>
      <c r="BN919" t="s">
        <v>74</v>
      </c>
    </row>
    <row r="920" spans="1:66">
      <c r="A920">
        <v>101170</v>
      </c>
      <c r="B920" t="s">
        <v>245</v>
      </c>
      <c r="C920" s="1">
        <v>43300101</v>
      </c>
      <c r="D920" t="s">
        <v>67</v>
      </c>
      <c r="H920" t="str">
        <f t="shared" si="118"/>
        <v>00527500540</v>
      </c>
      <c r="I920" t="str">
        <f t="shared" si="118"/>
        <v>00527500540</v>
      </c>
      <c r="K920" t="str">
        <f>""</f>
        <v/>
      </c>
      <c r="M920" t="s">
        <v>68</v>
      </c>
      <c r="N920" t="str">
        <f t="shared" si="117"/>
        <v>FOR</v>
      </c>
      <c r="O920" t="s">
        <v>69</v>
      </c>
      <c r="P920" t="s">
        <v>75</v>
      </c>
      <c r="Q920">
        <v>2016</v>
      </c>
      <c r="R920" s="4">
        <v>42443</v>
      </c>
      <c r="S920" s="2">
        <v>42461</v>
      </c>
      <c r="T920" s="2">
        <v>42450</v>
      </c>
      <c r="U920" s="4">
        <v>42510</v>
      </c>
      <c r="V920" t="s">
        <v>71</v>
      </c>
      <c r="W920" t="str">
        <f>"              200223"</f>
        <v xml:space="preserve">              200223</v>
      </c>
      <c r="X920" s="1">
        <v>5124</v>
      </c>
      <c r="Y920">
        <v>0</v>
      </c>
      <c r="Z920" s="5">
        <v>4200</v>
      </c>
      <c r="AA920" s="3">
        <v>265</v>
      </c>
      <c r="AB920" s="5">
        <v>1113000</v>
      </c>
      <c r="AC920" s="1">
        <v>4200</v>
      </c>
      <c r="AD920">
        <v>265</v>
      </c>
      <c r="AE920" s="1">
        <v>1113000</v>
      </c>
      <c r="AF920">
        <v>0</v>
      </c>
      <c r="AJ920">
        <v>0</v>
      </c>
      <c r="AK920">
        <v>0</v>
      </c>
      <c r="AL920">
        <v>0</v>
      </c>
      <c r="AM920">
        <v>0</v>
      </c>
      <c r="AN920">
        <v>0</v>
      </c>
      <c r="AO920">
        <v>0</v>
      </c>
      <c r="AP920" s="2">
        <v>42831</v>
      </c>
      <c r="AQ920" t="s">
        <v>72</v>
      </c>
      <c r="AR920" t="s">
        <v>72</v>
      </c>
      <c r="AS920">
        <v>370</v>
      </c>
      <c r="AT920" s="4">
        <v>42775</v>
      </c>
      <c r="AU920" t="s">
        <v>73</v>
      </c>
      <c r="AV920">
        <v>370</v>
      </c>
      <c r="AW920" s="4">
        <v>42775</v>
      </c>
      <c r="BD920">
        <v>0</v>
      </c>
      <c r="BN920" t="s">
        <v>74</v>
      </c>
    </row>
    <row r="921" spans="1:66">
      <c r="A921">
        <v>101170</v>
      </c>
      <c r="B921" t="s">
        <v>245</v>
      </c>
      <c r="C921" s="1">
        <v>43300101</v>
      </c>
      <c r="D921" t="s">
        <v>67</v>
      </c>
      <c r="H921" t="str">
        <f t="shared" si="118"/>
        <v>00527500540</v>
      </c>
      <c r="I921" t="str">
        <f t="shared" si="118"/>
        <v>00527500540</v>
      </c>
      <c r="K921" t="str">
        <f>""</f>
        <v/>
      </c>
      <c r="M921" t="s">
        <v>68</v>
      </c>
      <c r="N921" t="str">
        <f t="shared" si="117"/>
        <v>FOR</v>
      </c>
      <c r="O921" t="s">
        <v>69</v>
      </c>
      <c r="P921" t="s">
        <v>75</v>
      </c>
      <c r="Q921">
        <v>2016</v>
      </c>
      <c r="R921" s="4">
        <v>42443</v>
      </c>
      <c r="S921" s="2">
        <v>42461</v>
      </c>
      <c r="T921" s="2">
        <v>42451</v>
      </c>
      <c r="U921" s="4">
        <v>42511</v>
      </c>
      <c r="V921" t="s">
        <v>71</v>
      </c>
      <c r="W921" t="str">
        <f>"              200224"</f>
        <v xml:space="preserve">              200224</v>
      </c>
      <c r="X921" s="1">
        <v>1220</v>
      </c>
      <c r="Y921">
        <v>0</v>
      </c>
      <c r="Z921" s="5">
        <v>1000</v>
      </c>
      <c r="AA921" s="3">
        <v>264</v>
      </c>
      <c r="AB921" s="5">
        <v>264000</v>
      </c>
      <c r="AC921" s="1">
        <v>1000</v>
      </c>
      <c r="AD921">
        <v>264</v>
      </c>
      <c r="AE921" s="1">
        <v>264000</v>
      </c>
      <c r="AF921">
        <v>0</v>
      </c>
      <c r="AJ921">
        <v>0</v>
      </c>
      <c r="AK921">
        <v>0</v>
      </c>
      <c r="AL921">
        <v>0</v>
      </c>
      <c r="AM921">
        <v>0</v>
      </c>
      <c r="AN921">
        <v>0</v>
      </c>
      <c r="AO921">
        <v>0</v>
      </c>
      <c r="AP921" s="2">
        <v>42831</v>
      </c>
      <c r="AQ921" t="s">
        <v>72</v>
      </c>
      <c r="AR921" t="s">
        <v>72</v>
      </c>
      <c r="AS921">
        <v>370</v>
      </c>
      <c r="AT921" s="4">
        <v>42775</v>
      </c>
      <c r="AU921" t="s">
        <v>73</v>
      </c>
      <c r="AV921">
        <v>370</v>
      </c>
      <c r="AW921" s="4">
        <v>42775</v>
      </c>
      <c r="BD921">
        <v>0</v>
      </c>
      <c r="BN921" t="s">
        <v>74</v>
      </c>
    </row>
    <row r="922" spans="1:66">
      <c r="A922">
        <v>101170</v>
      </c>
      <c r="B922" t="s">
        <v>245</v>
      </c>
      <c r="C922" s="1">
        <v>43300101</v>
      </c>
      <c r="D922" t="s">
        <v>67</v>
      </c>
      <c r="H922" t="str">
        <f t="shared" si="118"/>
        <v>00527500540</v>
      </c>
      <c r="I922" t="str">
        <f t="shared" si="118"/>
        <v>00527500540</v>
      </c>
      <c r="K922" t="str">
        <f>""</f>
        <v/>
      </c>
      <c r="M922" t="s">
        <v>68</v>
      </c>
      <c r="N922" t="str">
        <f t="shared" si="117"/>
        <v>FOR</v>
      </c>
      <c r="O922" t="s">
        <v>69</v>
      </c>
      <c r="P922" t="s">
        <v>75</v>
      </c>
      <c r="Q922">
        <v>2016</v>
      </c>
      <c r="R922" s="4">
        <v>42445</v>
      </c>
      <c r="S922" s="2">
        <v>42461</v>
      </c>
      <c r="T922" s="2">
        <v>42454</v>
      </c>
      <c r="U922" s="4">
        <v>42514</v>
      </c>
      <c r="V922" t="s">
        <v>71</v>
      </c>
      <c r="W922" t="str">
        <f>"              200241"</f>
        <v xml:space="preserve">              200241</v>
      </c>
      <c r="X922" s="1">
        <v>4941</v>
      </c>
      <c r="Y922">
        <v>0</v>
      </c>
      <c r="Z922" s="5">
        <v>4050</v>
      </c>
      <c r="AA922" s="3">
        <v>261</v>
      </c>
      <c r="AB922" s="5">
        <v>1057050</v>
      </c>
      <c r="AC922" s="1">
        <v>4050</v>
      </c>
      <c r="AD922">
        <v>261</v>
      </c>
      <c r="AE922" s="1">
        <v>1057050</v>
      </c>
      <c r="AF922">
        <v>0</v>
      </c>
      <c r="AJ922">
        <v>0</v>
      </c>
      <c r="AK922">
        <v>0</v>
      </c>
      <c r="AL922">
        <v>0</v>
      </c>
      <c r="AM922">
        <v>0</v>
      </c>
      <c r="AN922">
        <v>0</v>
      </c>
      <c r="AO922">
        <v>0</v>
      </c>
      <c r="AP922" s="2">
        <v>42831</v>
      </c>
      <c r="AQ922" t="s">
        <v>72</v>
      </c>
      <c r="AR922" t="s">
        <v>72</v>
      </c>
      <c r="AS922">
        <v>370</v>
      </c>
      <c r="AT922" s="4">
        <v>42775</v>
      </c>
      <c r="AU922" t="s">
        <v>73</v>
      </c>
      <c r="AV922">
        <v>370</v>
      </c>
      <c r="AW922" s="4">
        <v>42775</v>
      </c>
      <c r="BD922">
        <v>0</v>
      </c>
      <c r="BN922" t="s">
        <v>74</v>
      </c>
    </row>
    <row r="923" spans="1:66">
      <c r="A923">
        <v>101170</v>
      </c>
      <c r="B923" t="s">
        <v>245</v>
      </c>
      <c r="C923" s="1">
        <v>43300101</v>
      </c>
      <c r="D923" t="s">
        <v>67</v>
      </c>
      <c r="H923" t="str">
        <f t="shared" si="118"/>
        <v>00527500540</v>
      </c>
      <c r="I923" t="str">
        <f t="shared" si="118"/>
        <v>00527500540</v>
      </c>
      <c r="K923" t="str">
        <f>""</f>
        <v/>
      </c>
      <c r="M923" t="s">
        <v>68</v>
      </c>
      <c r="N923" t="str">
        <f t="shared" si="117"/>
        <v>FOR</v>
      </c>
      <c r="O923" t="s">
        <v>69</v>
      </c>
      <c r="P923" t="s">
        <v>75</v>
      </c>
      <c r="Q923">
        <v>2016</v>
      </c>
      <c r="R923" s="4">
        <v>42445</v>
      </c>
      <c r="S923" s="2">
        <v>42461</v>
      </c>
      <c r="T923" s="2">
        <v>42454</v>
      </c>
      <c r="U923" s="4">
        <v>42514</v>
      </c>
      <c r="V923" t="s">
        <v>71</v>
      </c>
      <c r="W923" t="str">
        <f>"              200242"</f>
        <v xml:space="preserve">              200242</v>
      </c>
      <c r="X923" s="1">
        <v>4941</v>
      </c>
      <c r="Y923">
        <v>0</v>
      </c>
      <c r="Z923" s="5">
        <v>4050</v>
      </c>
      <c r="AA923" s="3">
        <v>261</v>
      </c>
      <c r="AB923" s="5">
        <v>1057050</v>
      </c>
      <c r="AC923" s="1">
        <v>4050</v>
      </c>
      <c r="AD923">
        <v>261</v>
      </c>
      <c r="AE923" s="1">
        <v>1057050</v>
      </c>
      <c r="AF923">
        <v>0</v>
      </c>
      <c r="AJ923">
        <v>0</v>
      </c>
      <c r="AK923">
        <v>0</v>
      </c>
      <c r="AL923">
        <v>0</v>
      </c>
      <c r="AM923">
        <v>0</v>
      </c>
      <c r="AN923">
        <v>0</v>
      </c>
      <c r="AO923">
        <v>0</v>
      </c>
      <c r="AP923" s="2">
        <v>42831</v>
      </c>
      <c r="AQ923" t="s">
        <v>72</v>
      </c>
      <c r="AR923" t="s">
        <v>72</v>
      </c>
      <c r="AS923">
        <v>370</v>
      </c>
      <c r="AT923" s="4">
        <v>42775</v>
      </c>
      <c r="AU923" t="s">
        <v>73</v>
      </c>
      <c r="AV923">
        <v>370</v>
      </c>
      <c r="AW923" s="4">
        <v>42775</v>
      </c>
      <c r="BD923">
        <v>0</v>
      </c>
      <c r="BN923" t="s">
        <v>74</v>
      </c>
    </row>
    <row r="924" spans="1:66">
      <c r="A924">
        <v>101170</v>
      </c>
      <c r="B924" t="s">
        <v>245</v>
      </c>
      <c r="C924" s="1">
        <v>43300101</v>
      </c>
      <c r="D924" t="s">
        <v>67</v>
      </c>
      <c r="H924" t="str">
        <f t="shared" si="118"/>
        <v>00527500540</v>
      </c>
      <c r="I924" t="str">
        <f t="shared" si="118"/>
        <v>00527500540</v>
      </c>
      <c r="K924" t="str">
        <f>""</f>
        <v/>
      </c>
      <c r="M924" t="s">
        <v>68</v>
      </c>
      <c r="N924" t="str">
        <f t="shared" si="117"/>
        <v>FOR</v>
      </c>
      <c r="O924" t="s">
        <v>69</v>
      </c>
      <c r="P924" t="s">
        <v>75</v>
      </c>
      <c r="Q924">
        <v>2016</v>
      </c>
      <c r="R924" s="4">
        <v>42502</v>
      </c>
      <c r="S924" s="2">
        <v>42509</v>
      </c>
      <c r="T924" s="2">
        <v>42508</v>
      </c>
      <c r="U924" s="4">
        <v>42568</v>
      </c>
      <c r="V924" t="s">
        <v>71</v>
      </c>
      <c r="W924" t="str">
        <f>"              200520"</f>
        <v xml:space="preserve">              200520</v>
      </c>
      <c r="X924" s="1">
        <v>1165.0999999999999</v>
      </c>
      <c r="Y924">
        <v>0</v>
      </c>
      <c r="Z924" s="5">
        <v>955</v>
      </c>
      <c r="AA924" s="3">
        <v>229</v>
      </c>
      <c r="AB924" s="5">
        <v>218695</v>
      </c>
      <c r="AC924">
        <v>955</v>
      </c>
      <c r="AD924">
        <v>229</v>
      </c>
      <c r="AE924" s="1">
        <v>218695</v>
      </c>
      <c r="AF924">
        <v>210.1</v>
      </c>
      <c r="AJ924">
        <v>0</v>
      </c>
      <c r="AK924">
        <v>0</v>
      </c>
      <c r="AL924">
        <v>0</v>
      </c>
      <c r="AM924">
        <v>0</v>
      </c>
      <c r="AN924">
        <v>0</v>
      </c>
      <c r="AO924">
        <v>0</v>
      </c>
      <c r="AP924" s="2">
        <v>42831</v>
      </c>
      <c r="AQ924" t="s">
        <v>72</v>
      </c>
      <c r="AR924" t="s">
        <v>72</v>
      </c>
      <c r="AS924">
        <v>710</v>
      </c>
      <c r="AT924" s="4">
        <v>42797</v>
      </c>
      <c r="AU924" t="s">
        <v>73</v>
      </c>
      <c r="AV924">
        <v>710</v>
      </c>
      <c r="AW924" s="4">
        <v>42797</v>
      </c>
      <c r="BD924">
        <v>210.1</v>
      </c>
      <c r="BN924" t="s">
        <v>74</v>
      </c>
    </row>
    <row r="925" spans="1:66">
      <c r="A925">
        <v>101170</v>
      </c>
      <c r="B925" t="s">
        <v>245</v>
      </c>
      <c r="C925" s="1">
        <v>43300101</v>
      </c>
      <c r="D925" t="s">
        <v>67</v>
      </c>
      <c r="H925" t="str">
        <f t="shared" si="118"/>
        <v>00527500540</v>
      </c>
      <c r="I925" t="str">
        <f t="shared" si="118"/>
        <v>00527500540</v>
      </c>
      <c r="K925" t="str">
        <f>""</f>
        <v/>
      </c>
      <c r="M925" t="s">
        <v>68</v>
      </c>
      <c r="N925" t="str">
        <f t="shared" si="117"/>
        <v>FOR</v>
      </c>
      <c r="O925" t="s">
        <v>69</v>
      </c>
      <c r="P925" t="s">
        <v>75</v>
      </c>
      <c r="Q925">
        <v>2016</v>
      </c>
      <c r="R925" s="4">
        <v>42502</v>
      </c>
      <c r="S925" s="2">
        <v>42509</v>
      </c>
      <c r="T925" s="2">
        <v>42508</v>
      </c>
      <c r="U925" s="4">
        <v>42568</v>
      </c>
      <c r="V925" t="s">
        <v>71</v>
      </c>
      <c r="W925" t="str">
        <f>"              200521"</f>
        <v xml:space="preserve">              200521</v>
      </c>
      <c r="X925" s="1">
        <v>1708</v>
      </c>
      <c r="Y925">
        <v>0</v>
      </c>
      <c r="Z925" s="5">
        <v>1400</v>
      </c>
      <c r="AA925" s="3">
        <v>229</v>
      </c>
      <c r="AB925" s="5">
        <v>320600</v>
      </c>
      <c r="AC925" s="1">
        <v>1400</v>
      </c>
      <c r="AD925">
        <v>229</v>
      </c>
      <c r="AE925" s="1">
        <v>320600</v>
      </c>
      <c r="AF925">
        <v>308</v>
      </c>
      <c r="AJ925">
        <v>0</v>
      </c>
      <c r="AK925">
        <v>0</v>
      </c>
      <c r="AL925">
        <v>0</v>
      </c>
      <c r="AM925">
        <v>0</v>
      </c>
      <c r="AN925">
        <v>0</v>
      </c>
      <c r="AO925">
        <v>0</v>
      </c>
      <c r="AP925" s="2">
        <v>42831</v>
      </c>
      <c r="AQ925" t="s">
        <v>72</v>
      </c>
      <c r="AR925" t="s">
        <v>72</v>
      </c>
      <c r="AS925">
        <v>710</v>
      </c>
      <c r="AT925" s="4">
        <v>42797</v>
      </c>
      <c r="AU925" t="s">
        <v>73</v>
      </c>
      <c r="AV925">
        <v>710</v>
      </c>
      <c r="AW925" s="4">
        <v>42797</v>
      </c>
      <c r="BD925">
        <v>308</v>
      </c>
      <c r="BN925" t="s">
        <v>74</v>
      </c>
    </row>
    <row r="926" spans="1:66">
      <c r="A926">
        <v>101170</v>
      </c>
      <c r="B926" t="s">
        <v>245</v>
      </c>
      <c r="C926" s="1">
        <v>43300101</v>
      </c>
      <c r="D926" t="s">
        <v>67</v>
      </c>
      <c r="H926" t="str">
        <f t="shared" si="118"/>
        <v>00527500540</v>
      </c>
      <c r="I926" t="str">
        <f t="shared" si="118"/>
        <v>00527500540</v>
      </c>
      <c r="K926" t="str">
        <f>""</f>
        <v/>
      </c>
      <c r="M926" t="s">
        <v>68</v>
      </c>
      <c r="N926" t="str">
        <f t="shared" si="117"/>
        <v>FOR</v>
      </c>
      <c r="O926" t="s">
        <v>69</v>
      </c>
      <c r="P926" t="s">
        <v>75</v>
      </c>
      <c r="Q926">
        <v>2016</v>
      </c>
      <c r="R926" s="4">
        <v>42502</v>
      </c>
      <c r="S926" s="2">
        <v>42509</v>
      </c>
      <c r="T926" s="2">
        <v>42508</v>
      </c>
      <c r="U926" s="4">
        <v>42568</v>
      </c>
      <c r="V926" t="s">
        <v>71</v>
      </c>
      <c r="W926" t="str">
        <f>"              200522"</f>
        <v xml:space="preserve">              200522</v>
      </c>
      <c r="X926">
        <v>183</v>
      </c>
      <c r="Y926">
        <v>0</v>
      </c>
      <c r="Z926" s="5">
        <v>150</v>
      </c>
      <c r="AA926" s="3">
        <v>229</v>
      </c>
      <c r="AB926" s="5">
        <v>34350</v>
      </c>
      <c r="AC926">
        <v>150</v>
      </c>
      <c r="AD926">
        <v>229</v>
      </c>
      <c r="AE926" s="1">
        <v>34350</v>
      </c>
      <c r="AF926">
        <v>33</v>
      </c>
      <c r="AJ926">
        <v>0</v>
      </c>
      <c r="AK926">
        <v>0</v>
      </c>
      <c r="AL926">
        <v>0</v>
      </c>
      <c r="AM926">
        <v>0</v>
      </c>
      <c r="AN926">
        <v>0</v>
      </c>
      <c r="AO926">
        <v>0</v>
      </c>
      <c r="AP926" s="2">
        <v>42831</v>
      </c>
      <c r="AQ926" t="s">
        <v>72</v>
      </c>
      <c r="AR926" t="s">
        <v>72</v>
      </c>
      <c r="AS926">
        <v>710</v>
      </c>
      <c r="AT926" s="4">
        <v>42797</v>
      </c>
      <c r="AU926" t="s">
        <v>73</v>
      </c>
      <c r="AV926">
        <v>710</v>
      </c>
      <c r="AW926" s="4">
        <v>42797</v>
      </c>
      <c r="BD926">
        <v>33</v>
      </c>
      <c r="BN926" t="s">
        <v>74</v>
      </c>
    </row>
    <row r="927" spans="1:66">
      <c r="A927">
        <v>101170</v>
      </c>
      <c r="B927" t="s">
        <v>245</v>
      </c>
      <c r="C927" s="1">
        <v>43300101</v>
      </c>
      <c r="D927" t="s">
        <v>67</v>
      </c>
      <c r="H927" t="str">
        <f t="shared" si="118"/>
        <v>00527500540</v>
      </c>
      <c r="I927" t="str">
        <f t="shared" si="118"/>
        <v>00527500540</v>
      </c>
      <c r="K927" t="str">
        <f>""</f>
        <v/>
      </c>
      <c r="M927" t="s">
        <v>68</v>
      </c>
      <c r="N927" t="str">
        <f t="shared" si="117"/>
        <v>FOR</v>
      </c>
      <c r="O927" t="s">
        <v>69</v>
      </c>
      <c r="P927" t="s">
        <v>75</v>
      </c>
      <c r="Q927">
        <v>2016</v>
      </c>
      <c r="R927" s="4">
        <v>42502</v>
      </c>
      <c r="S927" s="2">
        <v>42509</v>
      </c>
      <c r="T927" s="2">
        <v>42508</v>
      </c>
      <c r="U927" s="4">
        <v>42568</v>
      </c>
      <c r="V927" t="s">
        <v>71</v>
      </c>
      <c r="W927" t="str">
        <f>"              200523"</f>
        <v xml:space="preserve">              200523</v>
      </c>
      <c r="X927">
        <v>183</v>
      </c>
      <c r="Y927">
        <v>0</v>
      </c>
      <c r="Z927" s="5">
        <v>150</v>
      </c>
      <c r="AA927" s="3">
        <v>229</v>
      </c>
      <c r="AB927" s="5">
        <v>34350</v>
      </c>
      <c r="AC927">
        <v>150</v>
      </c>
      <c r="AD927">
        <v>229</v>
      </c>
      <c r="AE927" s="1">
        <v>34350</v>
      </c>
      <c r="AF927">
        <v>33</v>
      </c>
      <c r="AJ927">
        <v>0</v>
      </c>
      <c r="AK927">
        <v>0</v>
      </c>
      <c r="AL927">
        <v>0</v>
      </c>
      <c r="AM927">
        <v>0</v>
      </c>
      <c r="AN927">
        <v>0</v>
      </c>
      <c r="AO927">
        <v>0</v>
      </c>
      <c r="AP927" s="2">
        <v>42831</v>
      </c>
      <c r="AQ927" t="s">
        <v>72</v>
      </c>
      <c r="AR927" t="s">
        <v>72</v>
      </c>
      <c r="AS927">
        <v>710</v>
      </c>
      <c r="AT927" s="4">
        <v>42797</v>
      </c>
      <c r="AU927" t="s">
        <v>73</v>
      </c>
      <c r="AV927">
        <v>710</v>
      </c>
      <c r="AW927" s="4">
        <v>42797</v>
      </c>
      <c r="BD927">
        <v>33</v>
      </c>
      <c r="BN927" t="s">
        <v>74</v>
      </c>
    </row>
    <row r="928" spans="1:66">
      <c r="A928">
        <v>101170</v>
      </c>
      <c r="B928" t="s">
        <v>245</v>
      </c>
      <c r="C928" s="1">
        <v>43300101</v>
      </c>
      <c r="D928" t="s">
        <v>67</v>
      </c>
      <c r="H928" t="str">
        <f t="shared" si="118"/>
        <v>00527500540</v>
      </c>
      <c r="I928" t="str">
        <f t="shared" si="118"/>
        <v>00527500540</v>
      </c>
      <c r="K928" t="str">
        <f>""</f>
        <v/>
      </c>
      <c r="M928" t="s">
        <v>68</v>
      </c>
      <c r="N928" t="str">
        <f t="shared" si="117"/>
        <v>FOR</v>
      </c>
      <c r="O928" t="s">
        <v>69</v>
      </c>
      <c r="P928" t="s">
        <v>75</v>
      </c>
      <c r="Q928">
        <v>2016</v>
      </c>
      <c r="R928" s="4">
        <v>42502</v>
      </c>
      <c r="S928" s="2">
        <v>42509</v>
      </c>
      <c r="T928" s="2">
        <v>42508</v>
      </c>
      <c r="U928" s="4">
        <v>42568</v>
      </c>
      <c r="V928" t="s">
        <v>71</v>
      </c>
      <c r="W928" t="str">
        <f>"              200524"</f>
        <v xml:space="preserve">              200524</v>
      </c>
      <c r="X928">
        <v>695.4</v>
      </c>
      <c r="Y928">
        <v>0</v>
      </c>
      <c r="Z928" s="5">
        <v>570</v>
      </c>
      <c r="AA928" s="3">
        <v>229</v>
      </c>
      <c r="AB928" s="5">
        <v>130530</v>
      </c>
      <c r="AC928">
        <v>570</v>
      </c>
      <c r="AD928">
        <v>229</v>
      </c>
      <c r="AE928" s="1">
        <v>130530</v>
      </c>
      <c r="AF928">
        <v>125.4</v>
      </c>
      <c r="AJ928">
        <v>0</v>
      </c>
      <c r="AK928">
        <v>0</v>
      </c>
      <c r="AL928">
        <v>0</v>
      </c>
      <c r="AM928">
        <v>0</v>
      </c>
      <c r="AN928">
        <v>0</v>
      </c>
      <c r="AO928">
        <v>0</v>
      </c>
      <c r="AP928" s="2">
        <v>42831</v>
      </c>
      <c r="AQ928" t="s">
        <v>72</v>
      </c>
      <c r="AR928" t="s">
        <v>72</v>
      </c>
      <c r="AS928">
        <v>710</v>
      </c>
      <c r="AT928" s="4">
        <v>42797</v>
      </c>
      <c r="AU928" t="s">
        <v>73</v>
      </c>
      <c r="AV928">
        <v>710</v>
      </c>
      <c r="AW928" s="4">
        <v>42797</v>
      </c>
      <c r="BD928">
        <v>125.4</v>
      </c>
      <c r="BN928" t="s">
        <v>74</v>
      </c>
    </row>
    <row r="929" spans="1:66">
      <c r="A929">
        <v>101170</v>
      </c>
      <c r="B929" t="s">
        <v>245</v>
      </c>
      <c r="C929" s="1">
        <v>43300101</v>
      </c>
      <c r="D929" t="s">
        <v>67</v>
      </c>
      <c r="H929" t="str">
        <f t="shared" si="118"/>
        <v>00527500540</v>
      </c>
      <c r="I929" t="str">
        <f t="shared" si="118"/>
        <v>00527500540</v>
      </c>
      <c r="K929" t="str">
        <f>""</f>
        <v/>
      </c>
      <c r="M929" t="s">
        <v>68</v>
      </c>
      <c r="N929" t="str">
        <f t="shared" si="117"/>
        <v>FOR</v>
      </c>
      <c r="O929" t="s">
        <v>69</v>
      </c>
      <c r="P929" t="s">
        <v>75</v>
      </c>
      <c r="Q929">
        <v>2016</v>
      </c>
      <c r="R929" s="4">
        <v>42502</v>
      </c>
      <c r="S929" s="2">
        <v>42509</v>
      </c>
      <c r="T929" s="2">
        <v>42508</v>
      </c>
      <c r="U929" s="4">
        <v>42568</v>
      </c>
      <c r="V929" t="s">
        <v>71</v>
      </c>
      <c r="W929" t="str">
        <f>"              200525"</f>
        <v xml:space="preserve">              200525</v>
      </c>
      <c r="X929" s="1">
        <v>2806</v>
      </c>
      <c r="Y929">
        <v>0</v>
      </c>
      <c r="Z929" s="5">
        <v>2300</v>
      </c>
      <c r="AA929" s="3">
        <v>229</v>
      </c>
      <c r="AB929" s="5">
        <v>526700</v>
      </c>
      <c r="AC929" s="1">
        <v>2300</v>
      </c>
      <c r="AD929">
        <v>229</v>
      </c>
      <c r="AE929" s="1">
        <v>526700</v>
      </c>
      <c r="AF929">
        <v>506</v>
      </c>
      <c r="AJ929">
        <v>0</v>
      </c>
      <c r="AK929">
        <v>0</v>
      </c>
      <c r="AL929">
        <v>0</v>
      </c>
      <c r="AM929">
        <v>0</v>
      </c>
      <c r="AN929">
        <v>0</v>
      </c>
      <c r="AO929">
        <v>0</v>
      </c>
      <c r="AP929" s="2">
        <v>42831</v>
      </c>
      <c r="AQ929" t="s">
        <v>72</v>
      </c>
      <c r="AR929" t="s">
        <v>72</v>
      </c>
      <c r="AS929">
        <v>710</v>
      </c>
      <c r="AT929" s="4">
        <v>42797</v>
      </c>
      <c r="AU929" t="s">
        <v>73</v>
      </c>
      <c r="AV929">
        <v>710</v>
      </c>
      <c r="AW929" s="4">
        <v>42797</v>
      </c>
      <c r="BD929">
        <v>506</v>
      </c>
      <c r="BN929" t="s">
        <v>74</v>
      </c>
    </row>
    <row r="930" spans="1:66">
      <c r="A930">
        <v>101170</v>
      </c>
      <c r="B930" t="s">
        <v>245</v>
      </c>
      <c r="C930" s="1">
        <v>43300101</v>
      </c>
      <c r="D930" t="s">
        <v>67</v>
      </c>
      <c r="H930" t="str">
        <f t="shared" si="118"/>
        <v>00527500540</v>
      </c>
      <c r="I930" t="str">
        <f t="shared" si="118"/>
        <v>00527500540</v>
      </c>
      <c r="K930" t="str">
        <f>""</f>
        <v/>
      </c>
      <c r="M930" t="s">
        <v>68</v>
      </c>
      <c r="N930" t="str">
        <f t="shared" si="117"/>
        <v>FOR</v>
      </c>
      <c r="O930" t="s">
        <v>69</v>
      </c>
      <c r="P930" t="s">
        <v>75</v>
      </c>
      <c r="Q930">
        <v>2016</v>
      </c>
      <c r="R930" s="4">
        <v>42503</v>
      </c>
      <c r="S930" s="2">
        <v>42509</v>
      </c>
      <c r="T930" s="2">
        <v>42508</v>
      </c>
      <c r="U930" s="4">
        <v>42568</v>
      </c>
      <c r="V930" t="s">
        <v>71</v>
      </c>
      <c r="W930" t="str">
        <f>"              200526"</f>
        <v xml:space="preserve">              200526</v>
      </c>
      <c r="X930">
        <v>634.4</v>
      </c>
      <c r="Y930">
        <v>0</v>
      </c>
      <c r="Z930" s="5">
        <v>520</v>
      </c>
      <c r="AA930" s="3">
        <v>229</v>
      </c>
      <c r="AB930" s="5">
        <v>119080</v>
      </c>
      <c r="AC930">
        <v>520</v>
      </c>
      <c r="AD930">
        <v>229</v>
      </c>
      <c r="AE930" s="1">
        <v>119080</v>
      </c>
      <c r="AF930">
        <v>114.4</v>
      </c>
      <c r="AJ930">
        <v>0</v>
      </c>
      <c r="AK930">
        <v>0</v>
      </c>
      <c r="AL930">
        <v>0</v>
      </c>
      <c r="AM930">
        <v>0</v>
      </c>
      <c r="AN930">
        <v>0</v>
      </c>
      <c r="AO930">
        <v>0</v>
      </c>
      <c r="AP930" s="2">
        <v>42831</v>
      </c>
      <c r="AQ930" t="s">
        <v>72</v>
      </c>
      <c r="AR930" t="s">
        <v>72</v>
      </c>
      <c r="AS930">
        <v>710</v>
      </c>
      <c r="AT930" s="4">
        <v>42797</v>
      </c>
      <c r="AU930" t="s">
        <v>73</v>
      </c>
      <c r="AV930">
        <v>710</v>
      </c>
      <c r="AW930" s="4">
        <v>42797</v>
      </c>
      <c r="BD930">
        <v>114.4</v>
      </c>
      <c r="BN930" t="s">
        <v>74</v>
      </c>
    </row>
    <row r="931" spans="1:66">
      <c r="A931">
        <v>101170</v>
      </c>
      <c r="B931" t="s">
        <v>245</v>
      </c>
      <c r="C931" s="1">
        <v>43300101</v>
      </c>
      <c r="D931" t="s">
        <v>67</v>
      </c>
      <c r="H931" t="str">
        <f t="shared" si="118"/>
        <v>00527500540</v>
      </c>
      <c r="I931" t="str">
        <f t="shared" si="118"/>
        <v>00527500540</v>
      </c>
      <c r="K931" t="str">
        <f>""</f>
        <v/>
      </c>
      <c r="M931" t="s">
        <v>68</v>
      </c>
      <c r="N931" t="str">
        <f t="shared" si="117"/>
        <v>FOR</v>
      </c>
      <c r="O931" t="s">
        <v>69</v>
      </c>
      <c r="P931" t="s">
        <v>75</v>
      </c>
      <c r="Q931">
        <v>2016</v>
      </c>
      <c r="R931" s="4">
        <v>42503</v>
      </c>
      <c r="S931" s="2">
        <v>42509</v>
      </c>
      <c r="T931" s="2">
        <v>42508</v>
      </c>
      <c r="U931" s="4">
        <v>42568</v>
      </c>
      <c r="V931" t="s">
        <v>71</v>
      </c>
      <c r="W931" t="str">
        <f>"              200527"</f>
        <v xml:space="preserve">              200527</v>
      </c>
      <c r="X931">
        <v>244</v>
      </c>
      <c r="Y931">
        <v>0</v>
      </c>
      <c r="Z931" s="5">
        <v>200</v>
      </c>
      <c r="AA931" s="3">
        <v>229</v>
      </c>
      <c r="AB931" s="5">
        <v>45800</v>
      </c>
      <c r="AC931">
        <v>200</v>
      </c>
      <c r="AD931">
        <v>229</v>
      </c>
      <c r="AE931" s="1">
        <v>45800</v>
      </c>
      <c r="AF931">
        <v>44</v>
      </c>
      <c r="AJ931">
        <v>0</v>
      </c>
      <c r="AK931">
        <v>0</v>
      </c>
      <c r="AL931">
        <v>0</v>
      </c>
      <c r="AM931">
        <v>0</v>
      </c>
      <c r="AN931">
        <v>0</v>
      </c>
      <c r="AO931">
        <v>0</v>
      </c>
      <c r="AP931" s="2">
        <v>42831</v>
      </c>
      <c r="AQ931" t="s">
        <v>72</v>
      </c>
      <c r="AR931" t="s">
        <v>72</v>
      </c>
      <c r="AS931">
        <v>710</v>
      </c>
      <c r="AT931" s="4">
        <v>42797</v>
      </c>
      <c r="AU931" t="s">
        <v>73</v>
      </c>
      <c r="AV931">
        <v>710</v>
      </c>
      <c r="AW931" s="4">
        <v>42797</v>
      </c>
      <c r="BD931">
        <v>44</v>
      </c>
      <c r="BN931" t="s">
        <v>74</v>
      </c>
    </row>
    <row r="932" spans="1:66">
      <c r="A932">
        <v>101170</v>
      </c>
      <c r="B932" t="s">
        <v>245</v>
      </c>
      <c r="C932" s="1">
        <v>43300101</v>
      </c>
      <c r="D932" t="s">
        <v>67</v>
      </c>
      <c r="H932" t="str">
        <f t="shared" si="118"/>
        <v>00527500540</v>
      </c>
      <c r="I932" t="str">
        <f t="shared" si="118"/>
        <v>00527500540</v>
      </c>
      <c r="K932" t="str">
        <f>""</f>
        <v/>
      </c>
      <c r="M932" t="s">
        <v>68</v>
      </c>
      <c r="N932" t="str">
        <f t="shared" si="117"/>
        <v>FOR</v>
      </c>
      <c r="O932" t="s">
        <v>69</v>
      </c>
      <c r="P932" t="s">
        <v>75</v>
      </c>
      <c r="Q932">
        <v>2016</v>
      </c>
      <c r="R932" s="4">
        <v>42503</v>
      </c>
      <c r="S932" s="2">
        <v>42509</v>
      </c>
      <c r="T932" s="2">
        <v>42508</v>
      </c>
      <c r="U932" s="4">
        <v>42568</v>
      </c>
      <c r="V932" t="s">
        <v>71</v>
      </c>
      <c r="W932" t="str">
        <f>"              200528"</f>
        <v xml:space="preserve">              200528</v>
      </c>
      <c r="X932">
        <v>219.6</v>
      </c>
      <c r="Y932">
        <v>0</v>
      </c>
      <c r="Z932" s="5">
        <v>180</v>
      </c>
      <c r="AA932" s="3">
        <v>229</v>
      </c>
      <c r="AB932" s="5">
        <v>41220</v>
      </c>
      <c r="AC932">
        <v>180</v>
      </c>
      <c r="AD932">
        <v>229</v>
      </c>
      <c r="AE932" s="1">
        <v>41220</v>
      </c>
      <c r="AF932">
        <v>39.6</v>
      </c>
      <c r="AJ932">
        <v>0</v>
      </c>
      <c r="AK932">
        <v>0</v>
      </c>
      <c r="AL932">
        <v>0</v>
      </c>
      <c r="AM932">
        <v>0</v>
      </c>
      <c r="AN932">
        <v>0</v>
      </c>
      <c r="AO932">
        <v>0</v>
      </c>
      <c r="AP932" s="2">
        <v>42831</v>
      </c>
      <c r="AQ932" t="s">
        <v>72</v>
      </c>
      <c r="AR932" t="s">
        <v>72</v>
      </c>
      <c r="AS932">
        <v>710</v>
      </c>
      <c r="AT932" s="4">
        <v>42797</v>
      </c>
      <c r="AU932" t="s">
        <v>73</v>
      </c>
      <c r="AV932">
        <v>710</v>
      </c>
      <c r="AW932" s="4">
        <v>42797</v>
      </c>
      <c r="BD932">
        <v>39.6</v>
      </c>
      <c r="BN932" t="s">
        <v>74</v>
      </c>
    </row>
    <row r="933" spans="1:66">
      <c r="A933">
        <v>101170</v>
      </c>
      <c r="B933" t="s">
        <v>245</v>
      </c>
      <c r="C933" s="1">
        <v>43300101</v>
      </c>
      <c r="D933" t="s">
        <v>67</v>
      </c>
      <c r="H933" t="str">
        <f t="shared" si="118"/>
        <v>00527500540</v>
      </c>
      <c r="I933" t="str">
        <f t="shared" si="118"/>
        <v>00527500540</v>
      </c>
      <c r="K933" t="str">
        <f>""</f>
        <v/>
      </c>
      <c r="M933" t="s">
        <v>68</v>
      </c>
      <c r="N933" t="str">
        <f t="shared" si="117"/>
        <v>FOR</v>
      </c>
      <c r="O933" t="s">
        <v>69</v>
      </c>
      <c r="P933" t="s">
        <v>75</v>
      </c>
      <c r="Q933">
        <v>2016</v>
      </c>
      <c r="R933" s="4">
        <v>42503</v>
      </c>
      <c r="S933" s="2">
        <v>42509</v>
      </c>
      <c r="T933" s="2">
        <v>42508</v>
      </c>
      <c r="U933" s="4">
        <v>42568</v>
      </c>
      <c r="V933" t="s">
        <v>71</v>
      </c>
      <c r="W933" t="str">
        <f>"              200529"</f>
        <v xml:space="preserve">              200529</v>
      </c>
      <c r="X933" s="1">
        <v>5124</v>
      </c>
      <c r="Y933">
        <v>0</v>
      </c>
      <c r="Z933" s="5">
        <v>4200</v>
      </c>
      <c r="AA933" s="3">
        <v>229</v>
      </c>
      <c r="AB933" s="5">
        <v>961800</v>
      </c>
      <c r="AC933" s="1">
        <v>4200</v>
      </c>
      <c r="AD933">
        <v>229</v>
      </c>
      <c r="AE933" s="1">
        <v>961800</v>
      </c>
      <c r="AF933">
        <v>924</v>
      </c>
      <c r="AJ933">
        <v>0</v>
      </c>
      <c r="AK933">
        <v>0</v>
      </c>
      <c r="AL933">
        <v>0</v>
      </c>
      <c r="AM933">
        <v>0</v>
      </c>
      <c r="AN933">
        <v>0</v>
      </c>
      <c r="AO933">
        <v>0</v>
      </c>
      <c r="AP933" s="2">
        <v>42831</v>
      </c>
      <c r="AQ933" t="s">
        <v>72</v>
      </c>
      <c r="AR933" t="s">
        <v>72</v>
      </c>
      <c r="AS933">
        <v>710</v>
      </c>
      <c r="AT933" s="4">
        <v>42797</v>
      </c>
      <c r="AU933" t="s">
        <v>73</v>
      </c>
      <c r="AV933">
        <v>710</v>
      </c>
      <c r="AW933" s="4">
        <v>42797</v>
      </c>
      <c r="BD933">
        <v>924</v>
      </c>
      <c r="BN933" t="s">
        <v>74</v>
      </c>
    </row>
    <row r="934" spans="1:66">
      <c r="A934">
        <v>101170</v>
      </c>
      <c r="B934" t="s">
        <v>245</v>
      </c>
      <c r="C934" s="1">
        <v>43300101</v>
      </c>
      <c r="D934" t="s">
        <v>67</v>
      </c>
      <c r="H934" t="str">
        <f t="shared" si="118"/>
        <v>00527500540</v>
      </c>
      <c r="I934" t="str">
        <f t="shared" si="118"/>
        <v>00527500540</v>
      </c>
      <c r="K934" t="str">
        <f>""</f>
        <v/>
      </c>
      <c r="M934" t="s">
        <v>68</v>
      </c>
      <c r="N934" t="str">
        <f t="shared" si="117"/>
        <v>FOR</v>
      </c>
      <c r="O934" t="s">
        <v>69</v>
      </c>
      <c r="P934" t="s">
        <v>75</v>
      </c>
      <c r="Q934">
        <v>2016</v>
      </c>
      <c r="R934" s="4">
        <v>42503</v>
      </c>
      <c r="S934" s="2">
        <v>42509</v>
      </c>
      <c r="T934" s="2">
        <v>42508</v>
      </c>
      <c r="U934" s="4">
        <v>42568</v>
      </c>
      <c r="V934" t="s">
        <v>71</v>
      </c>
      <c r="W934" t="str">
        <f>"              200530"</f>
        <v xml:space="preserve">              200530</v>
      </c>
      <c r="X934">
        <v>244</v>
      </c>
      <c r="Y934">
        <v>0</v>
      </c>
      <c r="Z934" s="5">
        <v>200</v>
      </c>
      <c r="AA934" s="3">
        <v>229</v>
      </c>
      <c r="AB934" s="5">
        <v>45800</v>
      </c>
      <c r="AC934">
        <v>200</v>
      </c>
      <c r="AD934">
        <v>229</v>
      </c>
      <c r="AE934" s="1">
        <v>45800</v>
      </c>
      <c r="AF934">
        <v>44</v>
      </c>
      <c r="AJ934">
        <v>0</v>
      </c>
      <c r="AK934">
        <v>0</v>
      </c>
      <c r="AL934">
        <v>0</v>
      </c>
      <c r="AM934">
        <v>0</v>
      </c>
      <c r="AN934">
        <v>0</v>
      </c>
      <c r="AO934">
        <v>0</v>
      </c>
      <c r="AP934" s="2">
        <v>42831</v>
      </c>
      <c r="AQ934" t="s">
        <v>72</v>
      </c>
      <c r="AR934" t="s">
        <v>72</v>
      </c>
      <c r="AS934">
        <v>710</v>
      </c>
      <c r="AT934" s="4">
        <v>42797</v>
      </c>
      <c r="AU934" t="s">
        <v>73</v>
      </c>
      <c r="AV934">
        <v>710</v>
      </c>
      <c r="AW934" s="4">
        <v>42797</v>
      </c>
      <c r="BD934">
        <v>44</v>
      </c>
      <c r="BN934" t="s">
        <v>74</v>
      </c>
    </row>
    <row r="935" spans="1:66">
      <c r="A935">
        <v>101170</v>
      </c>
      <c r="B935" t="s">
        <v>245</v>
      </c>
      <c r="C935" s="1">
        <v>43300101</v>
      </c>
      <c r="D935" t="s">
        <v>67</v>
      </c>
      <c r="H935" t="str">
        <f t="shared" si="118"/>
        <v>00527500540</v>
      </c>
      <c r="I935" t="str">
        <f t="shared" si="118"/>
        <v>00527500540</v>
      </c>
      <c r="K935" t="str">
        <f>""</f>
        <v/>
      </c>
      <c r="M935" t="s">
        <v>68</v>
      </c>
      <c r="N935" t="str">
        <f t="shared" si="117"/>
        <v>FOR</v>
      </c>
      <c r="O935" t="s">
        <v>69</v>
      </c>
      <c r="P935" t="s">
        <v>75</v>
      </c>
      <c r="Q935">
        <v>2016</v>
      </c>
      <c r="R935" s="4">
        <v>42503</v>
      </c>
      <c r="S935" s="2">
        <v>42509</v>
      </c>
      <c r="T935" s="2">
        <v>42508</v>
      </c>
      <c r="U935" s="4">
        <v>42568</v>
      </c>
      <c r="V935" t="s">
        <v>71</v>
      </c>
      <c r="W935" t="str">
        <f>"              200531"</f>
        <v xml:space="preserve">              200531</v>
      </c>
      <c r="X935">
        <v>549</v>
      </c>
      <c r="Y935">
        <v>0</v>
      </c>
      <c r="Z935" s="5">
        <v>450</v>
      </c>
      <c r="AA935" s="3">
        <v>229</v>
      </c>
      <c r="AB935" s="5">
        <v>103050</v>
      </c>
      <c r="AC935">
        <v>450</v>
      </c>
      <c r="AD935">
        <v>229</v>
      </c>
      <c r="AE935" s="1">
        <v>103050</v>
      </c>
      <c r="AF935">
        <v>99</v>
      </c>
      <c r="AJ935">
        <v>0</v>
      </c>
      <c r="AK935">
        <v>0</v>
      </c>
      <c r="AL935">
        <v>0</v>
      </c>
      <c r="AM935">
        <v>0</v>
      </c>
      <c r="AN935">
        <v>0</v>
      </c>
      <c r="AO935">
        <v>0</v>
      </c>
      <c r="AP935" s="2">
        <v>42831</v>
      </c>
      <c r="AQ935" t="s">
        <v>72</v>
      </c>
      <c r="AR935" t="s">
        <v>72</v>
      </c>
      <c r="AS935">
        <v>710</v>
      </c>
      <c r="AT935" s="4">
        <v>42797</v>
      </c>
      <c r="AU935" t="s">
        <v>73</v>
      </c>
      <c r="AV935">
        <v>710</v>
      </c>
      <c r="AW935" s="4">
        <v>42797</v>
      </c>
      <c r="BD935">
        <v>99</v>
      </c>
      <c r="BN935" t="s">
        <v>74</v>
      </c>
    </row>
    <row r="936" spans="1:66">
      <c r="A936">
        <v>101178</v>
      </c>
      <c r="B936" t="s">
        <v>246</v>
      </c>
      <c r="C936" s="1">
        <v>43300101</v>
      </c>
      <c r="D936" t="s">
        <v>67</v>
      </c>
      <c r="H936" t="str">
        <f>"01985020518"</f>
        <v>01985020518</v>
      </c>
      <c r="I936" t="str">
        <f>"01985020518"</f>
        <v>01985020518</v>
      </c>
      <c r="K936" t="str">
        <f>""</f>
        <v/>
      </c>
      <c r="M936" t="s">
        <v>68</v>
      </c>
      <c r="N936" t="str">
        <f t="shared" si="117"/>
        <v>FOR</v>
      </c>
      <c r="O936" t="s">
        <v>69</v>
      </c>
      <c r="P936" t="s">
        <v>75</v>
      </c>
      <c r="Q936">
        <v>2016</v>
      </c>
      <c r="R936" s="4">
        <v>42453</v>
      </c>
      <c r="S936" s="2">
        <v>42461</v>
      </c>
      <c r="T936" s="2">
        <v>42459</v>
      </c>
      <c r="U936" s="4">
        <v>42519</v>
      </c>
      <c r="V936" t="s">
        <v>71</v>
      </c>
      <c r="W936" t="str">
        <f>"            47/PA/16"</f>
        <v xml:space="preserve">            47/PA/16</v>
      </c>
      <c r="X936" s="1">
        <v>3355</v>
      </c>
      <c r="Y936">
        <v>0</v>
      </c>
      <c r="Z936" s="5">
        <v>2750</v>
      </c>
      <c r="AA936" s="3">
        <v>249</v>
      </c>
      <c r="AB936" s="5">
        <v>684750</v>
      </c>
      <c r="AC936" s="1">
        <v>2750</v>
      </c>
      <c r="AD936">
        <v>249</v>
      </c>
      <c r="AE936" s="1">
        <v>684750</v>
      </c>
      <c r="AF936">
        <v>0</v>
      </c>
      <c r="AJ936">
        <v>0</v>
      </c>
      <c r="AK936">
        <v>0</v>
      </c>
      <c r="AL936">
        <v>0</v>
      </c>
      <c r="AM936">
        <v>0</v>
      </c>
      <c r="AN936">
        <v>0</v>
      </c>
      <c r="AO936">
        <v>0</v>
      </c>
      <c r="AP936" s="2">
        <v>42831</v>
      </c>
      <c r="AQ936" t="s">
        <v>72</v>
      </c>
      <c r="AR936" t="s">
        <v>72</v>
      </c>
      <c r="AS936">
        <v>227</v>
      </c>
      <c r="AT936" s="4">
        <v>42768</v>
      </c>
      <c r="AU936" t="s">
        <v>73</v>
      </c>
      <c r="AV936">
        <v>227</v>
      </c>
      <c r="AW936" s="4">
        <v>42768</v>
      </c>
      <c r="BD936">
        <v>0</v>
      </c>
      <c r="BN936" t="s">
        <v>74</v>
      </c>
    </row>
    <row r="937" spans="1:66">
      <c r="A937">
        <v>101178</v>
      </c>
      <c r="B937" t="s">
        <v>246</v>
      </c>
      <c r="C937" s="1">
        <v>43300101</v>
      </c>
      <c r="D937" t="s">
        <v>67</v>
      </c>
      <c r="H937" t="str">
        <f>"01985020518"</f>
        <v>01985020518</v>
      </c>
      <c r="I937" t="str">
        <f>"01985020518"</f>
        <v>01985020518</v>
      </c>
      <c r="K937" t="str">
        <f>""</f>
        <v/>
      </c>
      <c r="M937" t="s">
        <v>68</v>
      </c>
      <c r="N937" t="str">
        <f t="shared" si="117"/>
        <v>FOR</v>
      </c>
      <c r="O937" t="s">
        <v>69</v>
      </c>
      <c r="P937" t="s">
        <v>75</v>
      </c>
      <c r="Q937">
        <v>2016</v>
      </c>
      <c r="R937" s="4">
        <v>42490</v>
      </c>
      <c r="S937" s="2">
        <v>42507</v>
      </c>
      <c r="T937" s="2">
        <v>42506</v>
      </c>
      <c r="U937" s="4">
        <v>42566</v>
      </c>
      <c r="V937" t="s">
        <v>71</v>
      </c>
      <c r="W937" t="str">
        <f>"            72/PA/16"</f>
        <v xml:space="preserve">            72/PA/16</v>
      </c>
      <c r="X937" s="1">
        <v>2241.87</v>
      </c>
      <c r="Y937">
        <v>0</v>
      </c>
      <c r="Z937" s="5">
        <v>1837.6</v>
      </c>
      <c r="AA937" s="3">
        <v>209</v>
      </c>
      <c r="AB937" s="5">
        <v>384058.4</v>
      </c>
      <c r="AC937" s="1">
        <v>1837.6</v>
      </c>
      <c r="AD937">
        <v>209</v>
      </c>
      <c r="AE937" s="1">
        <v>384058.4</v>
      </c>
      <c r="AF937">
        <v>0</v>
      </c>
      <c r="AJ937">
        <v>0</v>
      </c>
      <c r="AK937">
        <v>0</v>
      </c>
      <c r="AL937">
        <v>0</v>
      </c>
      <c r="AM937">
        <v>0</v>
      </c>
      <c r="AN937">
        <v>0</v>
      </c>
      <c r="AO937">
        <v>0</v>
      </c>
      <c r="AP937" s="2">
        <v>42831</v>
      </c>
      <c r="AQ937" t="s">
        <v>72</v>
      </c>
      <c r="AR937" t="s">
        <v>72</v>
      </c>
      <c r="AS937">
        <v>381</v>
      </c>
      <c r="AT937" s="4">
        <v>42775</v>
      </c>
      <c r="AU937" t="s">
        <v>73</v>
      </c>
      <c r="AV937">
        <v>381</v>
      </c>
      <c r="AW937" s="4">
        <v>42775</v>
      </c>
      <c r="BD937">
        <v>0</v>
      </c>
      <c r="BN937" t="s">
        <v>74</v>
      </c>
    </row>
    <row r="938" spans="1:66">
      <c r="A938">
        <v>101202</v>
      </c>
      <c r="B938" t="s">
        <v>247</v>
      </c>
      <c r="C938" s="1">
        <v>43300101</v>
      </c>
      <c r="D938" t="s">
        <v>67</v>
      </c>
      <c r="H938" t="str">
        <f>"09058160152"</f>
        <v>09058160152</v>
      </c>
      <c r="I938" t="str">
        <f>"09058160152"</f>
        <v>09058160152</v>
      </c>
      <c r="K938" t="str">
        <f>""</f>
        <v/>
      </c>
      <c r="M938" t="s">
        <v>68</v>
      </c>
      <c r="N938" t="str">
        <f t="shared" si="117"/>
        <v>FOR</v>
      </c>
      <c r="O938" t="s">
        <v>69</v>
      </c>
      <c r="P938" t="s">
        <v>75</v>
      </c>
      <c r="Q938">
        <v>2016</v>
      </c>
      <c r="R938" s="4">
        <v>42482</v>
      </c>
      <c r="S938" s="2">
        <v>42496</v>
      </c>
      <c r="T938" s="2">
        <v>42493</v>
      </c>
      <c r="U938" s="4">
        <v>42553</v>
      </c>
      <c r="V938" t="s">
        <v>71</v>
      </c>
      <c r="W938" t="str">
        <f>"          0000102720"</f>
        <v xml:space="preserve">          0000102720</v>
      </c>
      <c r="X938" s="1">
        <v>1575.02</v>
      </c>
      <c r="Y938">
        <v>0</v>
      </c>
      <c r="Z938" s="5">
        <v>1291</v>
      </c>
      <c r="AA938" s="3">
        <v>227</v>
      </c>
      <c r="AB938" s="5">
        <v>293057</v>
      </c>
      <c r="AC938" s="1">
        <v>1291</v>
      </c>
      <c r="AD938">
        <v>227</v>
      </c>
      <c r="AE938" s="1">
        <v>293057</v>
      </c>
      <c r="AF938">
        <v>0</v>
      </c>
      <c r="AJ938">
        <v>0</v>
      </c>
      <c r="AK938">
        <v>0</v>
      </c>
      <c r="AL938">
        <v>0</v>
      </c>
      <c r="AM938">
        <v>0</v>
      </c>
      <c r="AN938">
        <v>0</v>
      </c>
      <c r="AO938">
        <v>0</v>
      </c>
      <c r="AP938" s="2">
        <v>42831</v>
      </c>
      <c r="AQ938" t="s">
        <v>72</v>
      </c>
      <c r="AR938" t="s">
        <v>72</v>
      </c>
      <c r="AS938">
        <v>441</v>
      </c>
      <c r="AT938" s="4">
        <v>42780</v>
      </c>
      <c r="AU938" t="s">
        <v>73</v>
      </c>
      <c r="AV938">
        <v>441</v>
      </c>
      <c r="AW938" s="4">
        <v>42780</v>
      </c>
      <c r="BD938">
        <v>0</v>
      </c>
      <c r="BN938" t="s">
        <v>74</v>
      </c>
    </row>
    <row r="939" spans="1:66" hidden="1">
      <c r="A939">
        <v>101223</v>
      </c>
      <c r="B939" t="s">
        <v>248</v>
      </c>
      <c r="C939" s="1">
        <v>43500101</v>
      </c>
      <c r="D939" t="s">
        <v>98</v>
      </c>
      <c r="H939" t="str">
        <f t="shared" ref="H939:I941" si="119">"00348170101"</f>
        <v>00348170101</v>
      </c>
      <c r="I939" t="str">
        <f t="shared" si="119"/>
        <v>00348170101</v>
      </c>
      <c r="K939" t="str">
        <f>""</f>
        <v/>
      </c>
      <c r="M939" t="s">
        <v>68</v>
      </c>
      <c r="N939" t="str">
        <f>"ALTFIN"</f>
        <v>ALTFIN</v>
      </c>
      <c r="O939" t="s">
        <v>102</v>
      </c>
      <c r="P939" t="s">
        <v>82</v>
      </c>
      <c r="Q939">
        <v>2017</v>
      </c>
      <c r="R939" s="4">
        <v>42755</v>
      </c>
      <c r="S939" s="2">
        <v>42755</v>
      </c>
      <c r="T939" s="2">
        <v>42755</v>
      </c>
      <c r="U939" s="4">
        <v>42815</v>
      </c>
      <c r="V939" t="s">
        <v>71</v>
      </c>
      <c r="W939" t="str">
        <f>"                0120"</f>
        <v xml:space="preserve">                0120</v>
      </c>
      <c r="X939">
        <v>0</v>
      </c>
      <c r="Y939" s="1">
        <v>2531</v>
      </c>
      <c r="Z939" s="5">
        <v>2531</v>
      </c>
      <c r="AA939" s="3">
        <v>-57</v>
      </c>
      <c r="AB939" s="5">
        <v>-144267</v>
      </c>
      <c r="AC939" s="1">
        <v>2531</v>
      </c>
      <c r="AD939">
        <v>-57</v>
      </c>
      <c r="AE939" s="1">
        <v>-144267</v>
      </c>
      <c r="AF939">
        <v>0</v>
      </c>
      <c r="AJ939" s="1">
        <v>2531</v>
      </c>
      <c r="AK939" s="1">
        <v>2531</v>
      </c>
      <c r="AL939" s="1">
        <v>2531</v>
      </c>
      <c r="AM939" s="1">
        <v>2531</v>
      </c>
      <c r="AN939" s="1">
        <v>2531</v>
      </c>
      <c r="AO939" s="1">
        <v>2531</v>
      </c>
      <c r="AP939" s="2">
        <v>42831</v>
      </c>
      <c r="AQ939" t="s">
        <v>72</v>
      </c>
      <c r="AR939" t="s">
        <v>72</v>
      </c>
      <c r="AS939">
        <v>38</v>
      </c>
      <c r="AT939" s="4">
        <v>42758</v>
      </c>
      <c r="AV939">
        <v>38</v>
      </c>
      <c r="AW939" s="4">
        <v>42758</v>
      </c>
      <c r="BD939">
        <v>0</v>
      </c>
      <c r="BN939" t="s">
        <v>74</v>
      </c>
    </row>
    <row r="940" spans="1:66" hidden="1">
      <c r="A940">
        <v>101223</v>
      </c>
      <c r="B940" t="s">
        <v>248</v>
      </c>
      <c r="C940" s="1">
        <v>43500101</v>
      </c>
      <c r="D940" t="s">
        <v>98</v>
      </c>
      <c r="H940" t="str">
        <f t="shared" si="119"/>
        <v>00348170101</v>
      </c>
      <c r="I940" t="str">
        <f t="shared" si="119"/>
        <v>00348170101</v>
      </c>
      <c r="K940" t="str">
        <f>""</f>
        <v/>
      </c>
      <c r="M940" t="s">
        <v>68</v>
      </c>
      <c r="N940" t="str">
        <f>"ALTFIN"</f>
        <v>ALTFIN</v>
      </c>
      <c r="O940" t="s">
        <v>102</v>
      </c>
      <c r="P940" t="s">
        <v>83</v>
      </c>
      <c r="Q940">
        <v>2017</v>
      </c>
      <c r="R940" s="4">
        <v>42786</v>
      </c>
      <c r="S940" s="2">
        <v>42787</v>
      </c>
      <c r="T940" s="2">
        <v>42787</v>
      </c>
      <c r="U940" s="4">
        <v>42847</v>
      </c>
      <c r="V940" t="s">
        <v>71</v>
      </c>
      <c r="W940" t="str">
        <f>"                0220"</f>
        <v xml:space="preserve">                0220</v>
      </c>
      <c r="X940">
        <v>0</v>
      </c>
      <c r="Y940" s="1">
        <v>2531</v>
      </c>
      <c r="Z940" s="5">
        <v>2531</v>
      </c>
      <c r="AA940" s="3">
        <v>-60</v>
      </c>
      <c r="AB940" s="5">
        <v>-151860</v>
      </c>
      <c r="AC940" s="1">
        <v>2531</v>
      </c>
      <c r="AD940">
        <v>-60</v>
      </c>
      <c r="AE940" s="1">
        <v>-151860</v>
      </c>
      <c r="AF940">
        <v>0</v>
      </c>
      <c r="AJ940" s="1">
        <v>2531</v>
      </c>
      <c r="AK940" s="1">
        <v>2531</v>
      </c>
      <c r="AL940" s="1">
        <v>2531</v>
      </c>
      <c r="AM940" s="1">
        <v>2531</v>
      </c>
      <c r="AN940" s="1">
        <v>2531</v>
      </c>
      <c r="AO940" s="1">
        <v>2531</v>
      </c>
      <c r="AP940" s="2">
        <v>42831</v>
      </c>
      <c r="AQ940" t="s">
        <v>72</v>
      </c>
      <c r="AR940" t="s">
        <v>72</v>
      </c>
      <c r="AS940">
        <v>518</v>
      </c>
      <c r="AT940" s="4">
        <v>42787</v>
      </c>
      <c r="AV940">
        <v>518</v>
      </c>
      <c r="AW940" s="4">
        <v>42787</v>
      </c>
      <c r="BD940">
        <v>0</v>
      </c>
      <c r="BN940" t="s">
        <v>74</v>
      </c>
    </row>
    <row r="941" spans="1:66" hidden="1">
      <c r="A941">
        <v>101223</v>
      </c>
      <c r="B941" t="s">
        <v>248</v>
      </c>
      <c r="C941" s="1">
        <v>43500101</v>
      </c>
      <c r="D941" t="s">
        <v>98</v>
      </c>
      <c r="H941" t="str">
        <f t="shared" si="119"/>
        <v>00348170101</v>
      </c>
      <c r="I941" t="str">
        <f t="shared" si="119"/>
        <v>00348170101</v>
      </c>
      <c r="K941" t="str">
        <f>""</f>
        <v/>
      </c>
      <c r="M941" t="s">
        <v>68</v>
      </c>
      <c r="N941" t="str">
        <f>"ALTFIN"</f>
        <v>ALTFIN</v>
      </c>
      <c r="O941" t="s">
        <v>102</v>
      </c>
      <c r="P941" t="s">
        <v>84</v>
      </c>
      <c r="Q941">
        <v>2017</v>
      </c>
      <c r="R941" s="4">
        <v>42815</v>
      </c>
      <c r="S941" s="2">
        <v>42815</v>
      </c>
      <c r="T941" s="2">
        <v>42815</v>
      </c>
      <c r="U941" s="4">
        <v>42875</v>
      </c>
      <c r="V941" t="s">
        <v>71</v>
      </c>
      <c r="W941" t="str">
        <f>"                0321"</f>
        <v xml:space="preserve">                0321</v>
      </c>
      <c r="X941">
        <v>0</v>
      </c>
      <c r="Y941" s="1">
        <v>2531</v>
      </c>
      <c r="Z941" s="5">
        <v>2531</v>
      </c>
      <c r="AA941" s="3">
        <v>-60</v>
      </c>
      <c r="AB941" s="5">
        <v>-151860</v>
      </c>
      <c r="AC941" s="1">
        <v>2531</v>
      </c>
      <c r="AD941">
        <v>-60</v>
      </c>
      <c r="AE941" s="1">
        <v>-151860</v>
      </c>
      <c r="AF941">
        <v>0</v>
      </c>
      <c r="AJ941" s="1">
        <v>2531</v>
      </c>
      <c r="AK941" s="1">
        <v>2531</v>
      </c>
      <c r="AL941" s="1">
        <v>2531</v>
      </c>
      <c r="AM941" s="1">
        <v>2531</v>
      </c>
      <c r="AN941" s="1">
        <v>2531</v>
      </c>
      <c r="AO941" s="1">
        <v>2531</v>
      </c>
      <c r="AP941" s="2">
        <v>42831</v>
      </c>
      <c r="AQ941" t="s">
        <v>72</v>
      </c>
      <c r="AR941" t="s">
        <v>72</v>
      </c>
      <c r="AS941">
        <v>815</v>
      </c>
      <c r="AT941" s="4">
        <v>42815</v>
      </c>
      <c r="AV941">
        <v>815</v>
      </c>
      <c r="AW941" s="4">
        <v>42815</v>
      </c>
      <c r="BD941">
        <v>0</v>
      </c>
      <c r="BN941" t="s">
        <v>74</v>
      </c>
    </row>
    <row r="942" spans="1:66">
      <c r="A942">
        <v>101235</v>
      </c>
      <c r="B942" t="s">
        <v>249</v>
      </c>
      <c r="C942" s="1">
        <v>43500101</v>
      </c>
      <c r="D942" t="s">
        <v>98</v>
      </c>
      <c r="H942" t="str">
        <f>"MGLMNT66S49A509P"</f>
        <v>MGLMNT66S49A509P</v>
      </c>
      <c r="I942" t="str">
        <f>"02906870643"</f>
        <v>02906870643</v>
      </c>
      <c r="K942" t="str">
        <f>""</f>
        <v/>
      </c>
      <c r="M942" t="s">
        <v>68</v>
      </c>
      <c r="N942" t="str">
        <f>"ALTPRO"</f>
        <v>ALTPRO</v>
      </c>
      <c r="O942" t="s">
        <v>116</v>
      </c>
      <c r="P942" t="s">
        <v>75</v>
      </c>
      <c r="Q942">
        <v>2016</v>
      </c>
      <c r="R942" s="4">
        <v>42718</v>
      </c>
      <c r="S942" s="2">
        <v>42727</v>
      </c>
      <c r="T942" s="2">
        <v>42726</v>
      </c>
      <c r="U942" s="4">
        <v>42786</v>
      </c>
      <c r="V942" t="s">
        <v>71</v>
      </c>
      <c r="W942" t="str">
        <f>"                   1"</f>
        <v xml:space="preserve">                   1</v>
      </c>
      <c r="X942" s="1">
        <v>11000</v>
      </c>
      <c r="Y942">
        <v>0</v>
      </c>
      <c r="Z942" s="5">
        <v>11000</v>
      </c>
      <c r="AA942" s="3">
        <v>-40</v>
      </c>
      <c r="AB942" s="5">
        <v>-440000</v>
      </c>
      <c r="AC942" s="1">
        <v>11000</v>
      </c>
      <c r="AD942">
        <v>-40</v>
      </c>
      <c r="AE942" s="1">
        <v>-440000</v>
      </c>
      <c r="AF942">
        <v>0</v>
      </c>
      <c r="AJ942">
        <v>0</v>
      </c>
      <c r="AK942">
        <v>0</v>
      </c>
      <c r="AL942">
        <v>0</v>
      </c>
      <c r="AM942">
        <v>0</v>
      </c>
      <c r="AN942">
        <v>0</v>
      </c>
      <c r="AO942">
        <v>0</v>
      </c>
      <c r="AP942" s="2">
        <v>42831</v>
      </c>
      <c r="AQ942" t="s">
        <v>72</v>
      </c>
      <c r="AR942" t="s">
        <v>72</v>
      </c>
      <c r="AS942">
        <v>2</v>
      </c>
      <c r="AT942" s="4">
        <v>42746</v>
      </c>
      <c r="AV942">
        <v>2</v>
      </c>
      <c r="AW942" s="4">
        <v>42746</v>
      </c>
      <c r="BD942">
        <v>0</v>
      </c>
      <c r="BN942" t="s">
        <v>74</v>
      </c>
    </row>
    <row r="943" spans="1:66">
      <c r="A943">
        <v>101238</v>
      </c>
      <c r="B943" t="s">
        <v>250</v>
      </c>
      <c r="C943" s="1">
        <v>43300101</v>
      </c>
      <c r="D943" t="s">
        <v>67</v>
      </c>
      <c r="H943" t="str">
        <f t="shared" ref="H943:I947" si="120">"10994940152"</f>
        <v>10994940152</v>
      </c>
      <c r="I943" t="str">
        <f t="shared" si="120"/>
        <v>10994940152</v>
      </c>
      <c r="K943" t="str">
        <f>""</f>
        <v/>
      </c>
      <c r="M943" t="s">
        <v>68</v>
      </c>
      <c r="N943" t="str">
        <f t="shared" ref="N943:N953" si="121">"FOR"</f>
        <v>FOR</v>
      </c>
      <c r="O943" t="s">
        <v>69</v>
      </c>
      <c r="P943" t="s">
        <v>75</v>
      </c>
      <c r="Q943">
        <v>2016</v>
      </c>
      <c r="R943" s="4">
        <v>42590</v>
      </c>
      <c r="S943" s="2">
        <v>42620</v>
      </c>
      <c r="T943" s="2">
        <v>42615</v>
      </c>
      <c r="U943" s="4">
        <v>42675</v>
      </c>
      <c r="V943" t="s">
        <v>71</v>
      </c>
      <c r="W943" t="str">
        <f>"          6100025870"</f>
        <v xml:space="preserve">          6100025870</v>
      </c>
      <c r="X943" s="1">
        <v>3586.8</v>
      </c>
      <c r="Y943">
        <v>0</v>
      </c>
      <c r="Z943" s="5">
        <v>2940</v>
      </c>
      <c r="AA943" s="3">
        <v>99</v>
      </c>
      <c r="AB943" s="5">
        <v>291060</v>
      </c>
      <c r="AC943" s="1">
        <v>2940</v>
      </c>
      <c r="AD943">
        <v>99</v>
      </c>
      <c r="AE943" s="1">
        <v>291060</v>
      </c>
      <c r="AF943">
        <v>0</v>
      </c>
      <c r="AJ943">
        <v>0</v>
      </c>
      <c r="AK943">
        <v>0</v>
      </c>
      <c r="AL943">
        <v>0</v>
      </c>
      <c r="AM943">
        <v>0</v>
      </c>
      <c r="AN943">
        <v>0</v>
      </c>
      <c r="AO943">
        <v>0</v>
      </c>
      <c r="AP943" s="2">
        <v>42831</v>
      </c>
      <c r="AQ943" t="s">
        <v>72</v>
      </c>
      <c r="AR943" t="s">
        <v>72</v>
      </c>
      <c r="AS943">
        <v>323</v>
      </c>
      <c r="AT943" s="4">
        <v>42774</v>
      </c>
      <c r="AU943" t="s">
        <v>73</v>
      </c>
      <c r="AV943">
        <v>323</v>
      </c>
      <c r="AW943" s="4">
        <v>42774</v>
      </c>
      <c r="BD943">
        <v>0</v>
      </c>
      <c r="BN943" t="s">
        <v>74</v>
      </c>
    </row>
    <row r="944" spans="1:66">
      <c r="A944">
        <v>101238</v>
      </c>
      <c r="B944" t="s">
        <v>250</v>
      </c>
      <c r="C944" s="1">
        <v>43300101</v>
      </c>
      <c r="D944" t="s">
        <v>67</v>
      </c>
      <c r="H944" t="str">
        <f t="shared" si="120"/>
        <v>10994940152</v>
      </c>
      <c r="I944" t="str">
        <f t="shared" si="120"/>
        <v>10994940152</v>
      </c>
      <c r="K944" t="str">
        <f>""</f>
        <v/>
      </c>
      <c r="M944" t="s">
        <v>68</v>
      </c>
      <c r="N944" t="str">
        <f t="shared" si="121"/>
        <v>FOR</v>
      </c>
      <c r="O944" t="s">
        <v>69</v>
      </c>
      <c r="P944" t="s">
        <v>75</v>
      </c>
      <c r="Q944">
        <v>2016</v>
      </c>
      <c r="R944" s="4">
        <v>42593</v>
      </c>
      <c r="S944" s="2">
        <v>42620</v>
      </c>
      <c r="T944" s="2">
        <v>42615</v>
      </c>
      <c r="U944" s="4">
        <v>42675</v>
      </c>
      <c r="V944" t="s">
        <v>71</v>
      </c>
      <c r="W944" t="str">
        <f>"          6100026074"</f>
        <v xml:space="preserve">          6100026074</v>
      </c>
      <c r="X944">
        <v>695.4</v>
      </c>
      <c r="Y944">
        <v>0</v>
      </c>
      <c r="Z944" s="5">
        <v>570</v>
      </c>
      <c r="AA944" s="3">
        <v>99</v>
      </c>
      <c r="AB944" s="5">
        <v>56430</v>
      </c>
      <c r="AC944">
        <v>570</v>
      </c>
      <c r="AD944">
        <v>99</v>
      </c>
      <c r="AE944" s="1">
        <v>56430</v>
      </c>
      <c r="AF944">
        <v>0</v>
      </c>
      <c r="AJ944">
        <v>0</v>
      </c>
      <c r="AK944">
        <v>0</v>
      </c>
      <c r="AL944">
        <v>0</v>
      </c>
      <c r="AM944">
        <v>0</v>
      </c>
      <c r="AN944">
        <v>0</v>
      </c>
      <c r="AO944">
        <v>0</v>
      </c>
      <c r="AP944" s="2">
        <v>42831</v>
      </c>
      <c r="AQ944" t="s">
        <v>72</v>
      </c>
      <c r="AR944" t="s">
        <v>72</v>
      </c>
      <c r="AS944">
        <v>323</v>
      </c>
      <c r="AT944" s="4">
        <v>42774</v>
      </c>
      <c r="AU944" t="s">
        <v>73</v>
      </c>
      <c r="AV944">
        <v>323</v>
      </c>
      <c r="AW944" s="4">
        <v>42774</v>
      </c>
      <c r="BD944">
        <v>0</v>
      </c>
      <c r="BN944" t="s">
        <v>74</v>
      </c>
    </row>
    <row r="945" spans="1:66">
      <c r="A945">
        <v>101238</v>
      </c>
      <c r="B945" t="s">
        <v>250</v>
      </c>
      <c r="C945" s="1">
        <v>43300101</v>
      </c>
      <c r="D945" t="s">
        <v>67</v>
      </c>
      <c r="H945" t="str">
        <f t="shared" si="120"/>
        <v>10994940152</v>
      </c>
      <c r="I945" t="str">
        <f t="shared" si="120"/>
        <v>10994940152</v>
      </c>
      <c r="K945" t="str">
        <f>""</f>
        <v/>
      </c>
      <c r="M945" t="s">
        <v>68</v>
      </c>
      <c r="N945" t="str">
        <f t="shared" si="121"/>
        <v>FOR</v>
      </c>
      <c r="O945" t="s">
        <v>69</v>
      </c>
      <c r="P945" t="s">
        <v>75</v>
      </c>
      <c r="Q945">
        <v>2016</v>
      </c>
      <c r="R945" s="4">
        <v>42606</v>
      </c>
      <c r="S945" s="2">
        <v>42628</v>
      </c>
      <c r="T945" s="2">
        <v>42622</v>
      </c>
      <c r="U945" s="4">
        <v>42682</v>
      </c>
      <c r="V945" t="s">
        <v>71</v>
      </c>
      <c r="W945" t="str">
        <f>"          6100026455"</f>
        <v xml:space="preserve">          6100026455</v>
      </c>
      <c r="X945">
        <v>292.8</v>
      </c>
      <c r="Y945">
        <v>0</v>
      </c>
      <c r="Z945" s="5">
        <v>240</v>
      </c>
      <c r="AA945" s="3">
        <v>92</v>
      </c>
      <c r="AB945" s="5">
        <v>22080</v>
      </c>
      <c r="AC945">
        <v>240</v>
      </c>
      <c r="AD945">
        <v>92</v>
      </c>
      <c r="AE945" s="1">
        <v>22080</v>
      </c>
      <c r="AF945">
        <v>0</v>
      </c>
      <c r="AJ945">
        <v>0</v>
      </c>
      <c r="AK945">
        <v>0</v>
      </c>
      <c r="AL945">
        <v>0</v>
      </c>
      <c r="AM945">
        <v>0</v>
      </c>
      <c r="AN945">
        <v>0</v>
      </c>
      <c r="AO945">
        <v>0</v>
      </c>
      <c r="AP945" s="2">
        <v>42831</v>
      </c>
      <c r="AQ945" t="s">
        <v>72</v>
      </c>
      <c r="AR945" t="s">
        <v>72</v>
      </c>
      <c r="AS945">
        <v>323</v>
      </c>
      <c r="AT945" s="4">
        <v>42774</v>
      </c>
      <c r="AU945" t="s">
        <v>73</v>
      </c>
      <c r="AV945">
        <v>323</v>
      </c>
      <c r="AW945" s="4">
        <v>42774</v>
      </c>
      <c r="BD945">
        <v>0</v>
      </c>
      <c r="BN945" t="s">
        <v>74</v>
      </c>
    </row>
    <row r="946" spans="1:66">
      <c r="A946">
        <v>101238</v>
      </c>
      <c r="B946" t="s">
        <v>250</v>
      </c>
      <c r="C946" s="1">
        <v>43300101</v>
      </c>
      <c r="D946" t="s">
        <v>67</v>
      </c>
      <c r="H946" t="str">
        <f t="shared" si="120"/>
        <v>10994940152</v>
      </c>
      <c r="I946" t="str">
        <f t="shared" si="120"/>
        <v>10994940152</v>
      </c>
      <c r="K946" t="str">
        <f>""</f>
        <v/>
      </c>
      <c r="M946" t="s">
        <v>68</v>
      </c>
      <c r="N946" t="str">
        <f t="shared" si="121"/>
        <v>FOR</v>
      </c>
      <c r="O946" t="s">
        <v>69</v>
      </c>
      <c r="P946" t="s">
        <v>75</v>
      </c>
      <c r="Q946">
        <v>2016</v>
      </c>
      <c r="R946" s="4">
        <v>42723</v>
      </c>
      <c r="S946" s="2">
        <v>42725</v>
      </c>
      <c r="T946" s="2">
        <v>42723</v>
      </c>
      <c r="U946" s="4">
        <v>42783</v>
      </c>
      <c r="V946" t="s">
        <v>71</v>
      </c>
      <c r="W946" t="str">
        <f>"          6100036134"</f>
        <v xml:space="preserve">          6100036134</v>
      </c>
      <c r="X946" s="1">
        <v>1756.8</v>
      </c>
      <c r="Y946">
        <v>0</v>
      </c>
      <c r="Z946" s="5">
        <v>1440</v>
      </c>
      <c r="AA946" s="3">
        <v>10</v>
      </c>
      <c r="AB946" s="5">
        <v>14400</v>
      </c>
      <c r="AC946" s="1">
        <v>1440</v>
      </c>
      <c r="AD946">
        <v>10</v>
      </c>
      <c r="AE946" s="1">
        <v>14400</v>
      </c>
      <c r="AF946">
        <v>0</v>
      </c>
      <c r="AJ946">
        <v>0</v>
      </c>
      <c r="AK946">
        <v>0</v>
      </c>
      <c r="AL946">
        <v>0</v>
      </c>
      <c r="AM946">
        <v>0</v>
      </c>
      <c r="AN946">
        <v>0</v>
      </c>
      <c r="AO946">
        <v>0</v>
      </c>
      <c r="AP946" s="2">
        <v>42831</v>
      </c>
      <c r="AQ946" t="s">
        <v>72</v>
      </c>
      <c r="AR946" t="s">
        <v>72</v>
      </c>
      <c r="AS946">
        <v>623</v>
      </c>
      <c r="AT946" s="4">
        <v>42793</v>
      </c>
      <c r="AU946" t="s">
        <v>73</v>
      </c>
      <c r="AV946">
        <v>623</v>
      </c>
      <c r="AW946" s="4">
        <v>42793</v>
      </c>
      <c r="BD946">
        <v>0</v>
      </c>
      <c r="BN946" t="s">
        <v>74</v>
      </c>
    </row>
    <row r="947" spans="1:66">
      <c r="A947">
        <v>101238</v>
      </c>
      <c r="B947" t="s">
        <v>250</v>
      </c>
      <c r="C947" s="1">
        <v>43300101</v>
      </c>
      <c r="D947" t="s">
        <v>67</v>
      </c>
      <c r="H947" t="str">
        <f t="shared" si="120"/>
        <v>10994940152</v>
      </c>
      <c r="I947" t="str">
        <f t="shared" si="120"/>
        <v>10994940152</v>
      </c>
      <c r="K947" t="str">
        <f>""</f>
        <v/>
      </c>
      <c r="M947" t="s">
        <v>68</v>
      </c>
      <c r="N947" t="str">
        <f t="shared" si="121"/>
        <v>FOR</v>
      </c>
      <c r="O947" t="s">
        <v>69</v>
      </c>
      <c r="P947" t="s">
        <v>75</v>
      </c>
      <c r="Q947">
        <v>2016</v>
      </c>
      <c r="R947" s="4">
        <v>42723</v>
      </c>
      <c r="S947" s="2">
        <v>42725</v>
      </c>
      <c r="T947" s="2">
        <v>42723</v>
      </c>
      <c r="U947" s="4">
        <v>42783</v>
      </c>
      <c r="V947" t="s">
        <v>71</v>
      </c>
      <c r="W947" t="str">
        <f>"          6100036135"</f>
        <v xml:space="preserve">          6100036135</v>
      </c>
      <c r="X947">
        <v>366</v>
      </c>
      <c r="Y947">
        <v>0</v>
      </c>
      <c r="Z947" s="5">
        <v>300</v>
      </c>
      <c r="AA947" s="3">
        <v>10</v>
      </c>
      <c r="AB947" s="5">
        <v>3000</v>
      </c>
      <c r="AC947">
        <v>300</v>
      </c>
      <c r="AD947">
        <v>10</v>
      </c>
      <c r="AE947" s="1">
        <v>3000</v>
      </c>
      <c r="AF947">
        <v>0</v>
      </c>
      <c r="AJ947">
        <v>0</v>
      </c>
      <c r="AK947">
        <v>0</v>
      </c>
      <c r="AL947">
        <v>0</v>
      </c>
      <c r="AM947">
        <v>0</v>
      </c>
      <c r="AN947">
        <v>0</v>
      </c>
      <c r="AO947">
        <v>0</v>
      </c>
      <c r="AP947" s="2">
        <v>42831</v>
      </c>
      <c r="AQ947" t="s">
        <v>72</v>
      </c>
      <c r="AR947" t="s">
        <v>72</v>
      </c>
      <c r="AS947">
        <v>623</v>
      </c>
      <c r="AT947" s="4">
        <v>42793</v>
      </c>
      <c r="AU947" t="s">
        <v>73</v>
      </c>
      <c r="AV947">
        <v>623</v>
      </c>
      <c r="AW947" s="4">
        <v>42793</v>
      </c>
      <c r="BD947">
        <v>0</v>
      </c>
      <c r="BN947" t="s">
        <v>74</v>
      </c>
    </row>
    <row r="948" spans="1:66">
      <c r="A948">
        <v>101244</v>
      </c>
      <c r="B948" t="s">
        <v>251</v>
      </c>
      <c r="C948" s="1">
        <v>43300101</v>
      </c>
      <c r="D948" t="s">
        <v>67</v>
      </c>
      <c r="H948" t="str">
        <f t="shared" ref="H948:I953" si="122">"01113580656"</f>
        <v>01113580656</v>
      </c>
      <c r="I948" t="str">
        <f t="shared" si="122"/>
        <v>01113580656</v>
      </c>
      <c r="K948" t="str">
        <f>""</f>
        <v/>
      </c>
      <c r="M948" t="s">
        <v>68</v>
      </c>
      <c r="N948" t="str">
        <f t="shared" si="121"/>
        <v>FOR</v>
      </c>
      <c r="O948" t="s">
        <v>69</v>
      </c>
      <c r="P948" t="s">
        <v>75</v>
      </c>
      <c r="Q948">
        <v>2016</v>
      </c>
      <c r="R948" s="4">
        <v>42398</v>
      </c>
      <c r="S948" s="2">
        <v>42401</v>
      </c>
      <c r="T948" s="2">
        <v>42398</v>
      </c>
      <c r="U948" s="4">
        <v>42458</v>
      </c>
      <c r="V948" t="s">
        <v>71</v>
      </c>
      <c r="W948" t="str">
        <f>"                 135"</f>
        <v xml:space="preserve">                 135</v>
      </c>
      <c r="X948" s="1">
        <v>18386.62</v>
      </c>
      <c r="Y948">
        <v>0</v>
      </c>
      <c r="Z948" s="5">
        <v>15071</v>
      </c>
      <c r="AA948" s="3">
        <v>316</v>
      </c>
      <c r="AB948" s="5">
        <v>4762436</v>
      </c>
      <c r="AC948" s="1">
        <v>15071</v>
      </c>
      <c r="AD948">
        <v>316</v>
      </c>
      <c r="AE948" s="1">
        <v>4762436</v>
      </c>
      <c r="AF948">
        <v>0</v>
      </c>
      <c r="AJ948">
        <v>0</v>
      </c>
      <c r="AK948">
        <v>0</v>
      </c>
      <c r="AL948">
        <v>0</v>
      </c>
      <c r="AM948">
        <v>0</v>
      </c>
      <c r="AN948">
        <v>0</v>
      </c>
      <c r="AO948">
        <v>0</v>
      </c>
      <c r="AP948" s="2">
        <v>42831</v>
      </c>
      <c r="AQ948" t="s">
        <v>72</v>
      </c>
      <c r="AR948" t="s">
        <v>72</v>
      </c>
      <c r="AS948">
        <v>348</v>
      </c>
      <c r="AT948" s="4">
        <v>42774</v>
      </c>
      <c r="AU948" t="s">
        <v>73</v>
      </c>
      <c r="AV948">
        <v>348</v>
      </c>
      <c r="AW948" s="4">
        <v>42774</v>
      </c>
      <c r="BD948">
        <v>0</v>
      </c>
      <c r="BN948" t="s">
        <v>74</v>
      </c>
    </row>
    <row r="949" spans="1:66">
      <c r="A949">
        <v>101244</v>
      </c>
      <c r="B949" t="s">
        <v>251</v>
      </c>
      <c r="C949" s="1">
        <v>43300101</v>
      </c>
      <c r="D949" t="s">
        <v>67</v>
      </c>
      <c r="H949" t="str">
        <f t="shared" si="122"/>
        <v>01113580656</v>
      </c>
      <c r="I949" t="str">
        <f t="shared" si="122"/>
        <v>01113580656</v>
      </c>
      <c r="K949" t="str">
        <f>""</f>
        <v/>
      </c>
      <c r="M949" t="s">
        <v>68</v>
      </c>
      <c r="N949" t="str">
        <f t="shared" si="121"/>
        <v>FOR</v>
      </c>
      <c r="O949" t="s">
        <v>69</v>
      </c>
      <c r="P949" t="s">
        <v>75</v>
      </c>
      <c r="Q949">
        <v>2016</v>
      </c>
      <c r="R949" s="4">
        <v>42433</v>
      </c>
      <c r="S949" s="2">
        <v>42436</v>
      </c>
      <c r="T949" s="2">
        <v>42433</v>
      </c>
      <c r="U949" s="4">
        <v>42493</v>
      </c>
      <c r="V949" t="s">
        <v>71</v>
      </c>
      <c r="W949" t="str">
        <f>"                 306"</f>
        <v xml:space="preserve">                 306</v>
      </c>
      <c r="X949" s="1">
        <v>9384.24</v>
      </c>
      <c r="Y949">
        <v>0</v>
      </c>
      <c r="Z949" s="5">
        <v>7692</v>
      </c>
      <c r="AA949" s="3">
        <v>281</v>
      </c>
      <c r="AB949" s="5">
        <v>2161452</v>
      </c>
      <c r="AC949" s="1">
        <v>7692</v>
      </c>
      <c r="AD949">
        <v>281</v>
      </c>
      <c r="AE949" s="1">
        <v>2161452</v>
      </c>
      <c r="AF949">
        <v>0</v>
      </c>
      <c r="AJ949">
        <v>0</v>
      </c>
      <c r="AK949">
        <v>0</v>
      </c>
      <c r="AL949">
        <v>0</v>
      </c>
      <c r="AM949">
        <v>0</v>
      </c>
      <c r="AN949">
        <v>0</v>
      </c>
      <c r="AO949">
        <v>0</v>
      </c>
      <c r="AP949" s="2">
        <v>42831</v>
      </c>
      <c r="AQ949" t="s">
        <v>72</v>
      </c>
      <c r="AR949" t="s">
        <v>72</v>
      </c>
      <c r="AS949">
        <v>348</v>
      </c>
      <c r="AT949" s="4">
        <v>42774</v>
      </c>
      <c r="AU949" t="s">
        <v>73</v>
      </c>
      <c r="AV949">
        <v>348</v>
      </c>
      <c r="AW949" s="4">
        <v>42774</v>
      </c>
      <c r="BD949">
        <v>0</v>
      </c>
      <c r="BN949" t="s">
        <v>74</v>
      </c>
    </row>
    <row r="950" spans="1:66">
      <c r="A950">
        <v>101244</v>
      </c>
      <c r="B950" t="s">
        <v>251</v>
      </c>
      <c r="C950" s="1">
        <v>43300101</v>
      </c>
      <c r="D950" t="s">
        <v>67</v>
      </c>
      <c r="H950" t="str">
        <f t="shared" si="122"/>
        <v>01113580656</v>
      </c>
      <c r="I950" t="str">
        <f t="shared" si="122"/>
        <v>01113580656</v>
      </c>
      <c r="K950" t="str">
        <f>""</f>
        <v/>
      </c>
      <c r="M950" t="s">
        <v>68</v>
      </c>
      <c r="N950" t="str">
        <f t="shared" si="121"/>
        <v>FOR</v>
      </c>
      <c r="O950" t="s">
        <v>69</v>
      </c>
      <c r="P950" t="s">
        <v>75</v>
      </c>
      <c r="Q950">
        <v>2016</v>
      </c>
      <c r="R950" s="4">
        <v>42439</v>
      </c>
      <c r="S950" s="2">
        <v>42443</v>
      </c>
      <c r="T950" s="2">
        <v>42440</v>
      </c>
      <c r="U950" s="4">
        <v>42500</v>
      </c>
      <c r="V950" t="s">
        <v>71</v>
      </c>
      <c r="W950" t="str">
        <f>"                 334"</f>
        <v xml:space="preserve">                 334</v>
      </c>
      <c r="X950">
        <v>989.64</v>
      </c>
      <c r="Y950">
        <v>0</v>
      </c>
      <c r="Z950" s="5">
        <v>811.18</v>
      </c>
      <c r="AA950" s="3">
        <v>274</v>
      </c>
      <c r="AB950" s="5">
        <v>222263.32</v>
      </c>
      <c r="AC950">
        <v>811.18</v>
      </c>
      <c r="AD950">
        <v>274</v>
      </c>
      <c r="AE950" s="1">
        <v>222263.32</v>
      </c>
      <c r="AF950">
        <v>0</v>
      </c>
      <c r="AJ950">
        <v>0</v>
      </c>
      <c r="AK950">
        <v>0</v>
      </c>
      <c r="AL950">
        <v>0</v>
      </c>
      <c r="AM950">
        <v>0</v>
      </c>
      <c r="AN950">
        <v>0</v>
      </c>
      <c r="AO950">
        <v>0</v>
      </c>
      <c r="AP950" s="2">
        <v>42831</v>
      </c>
      <c r="AQ950" t="s">
        <v>72</v>
      </c>
      <c r="AR950" t="s">
        <v>72</v>
      </c>
      <c r="AS950">
        <v>348</v>
      </c>
      <c r="AT950" s="4">
        <v>42774</v>
      </c>
      <c r="AU950" t="s">
        <v>73</v>
      </c>
      <c r="AV950">
        <v>348</v>
      </c>
      <c r="AW950" s="4">
        <v>42774</v>
      </c>
      <c r="BD950">
        <v>0</v>
      </c>
      <c r="BN950" t="s">
        <v>74</v>
      </c>
    </row>
    <row r="951" spans="1:66">
      <c r="A951">
        <v>101244</v>
      </c>
      <c r="B951" t="s">
        <v>251</v>
      </c>
      <c r="C951" s="1">
        <v>43300101</v>
      </c>
      <c r="D951" t="s">
        <v>67</v>
      </c>
      <c r="H951" t="str">
        <f t="shared" si="122"/>
        <v>01113580656</v>
      </c>
      <c r="I951" t="str">
        <f t="shared" si="122"/>
        <v>01113580656</v>
      </c>
      <c r="K951" t="str">
        <f>""</f>
        <v/>
      </c>
      <c r="M951" t="s">
        <v>68</v>
      </c>
      <c r="N951" t="str">
        <f t="shared" si="121"/>
        <v>FOR</v>
      </c>
      <c r="O951" t="s">
        <v>69</v>
      </c>
      <c r="P951" t="s">
        <v>75</v>
      </c>
      <c r="Q951">
        <v>2016</v>
      </c>
      <c r="R951" s="4">
        <v>42480</v>
      </c>
      <c r="S951" s="2">
        <v>42481</v>
      </c>
      <c r="T951" s="2">
        <v>42480</v>
      </c>
      <c r="U951" s="4">
        <v>42540</v>
      </c>
      <c r="V951" t="s">
        <v>71</v>
      </c>
      <c r="W951" t="str">
        <f>"                 522"</f>
        <v xml:space="preserve">                 522</v>
      </c>
      <c r="X951" s="1">
        <v>2049.6</v>
      </c>
      <c r="Y951">
        <v>0</v>
      </c>
      <c r="Z951" s="5">
        <v>1680</v>
      </c>
      <c r="AA951" s="3">
        <v>234</v>
      </c>
      <c r="AB951" s="5">
        <v>393120</v>
      </c>
      <c r="AC951" s="1">
        <v>1680</v>
      </c>
      <c r="AD951">
        <v>234</v>
      </c>
      <c r="AE951" s="1">
        <v>393120</v>
      </c>
      <c r="AF951">
        <v>0</v>
      </c>
      <c r="AJ951">
        <v>0</v>
      </c>
      <c r="AK951">
        <v>0</v>
      </c>
      <c r="AL951">
        <v>0</v>
      </c>
      <c r="AM951">
        <v>0</v>
      </c>
      <c r="AN951">
        <v>0</v>
      </c>
      <c r="AO951">
        <v>0</v>
      </c>
      <c r="AP951" s="2">
        <v>42831</v>
      </c>
      <c r="AQ951" t="s">
        <v>72</v>
      </c>
      <c r="AR951" t="s">
        <v>72</v>
      </c>
      <c r="AS951">
        <v>348</v>
      </c>
      <c r="AT951" s="4">
        <v>42774</v>
      </c>
      <c r="AU951" t="s">
        <v>73</v>
      </c>
      <c r="AV951">
        <v>348</v>
      </c>
      <c r="AW951" s="4">
        <v>42774</v>
      </c>
      <c r="BD951">
        <v>0</v>
      </c>
      <c r="BN951" t="s">
        <v>74</v>
      </c>
    </row>
    <row r="952" spans="1:66">
      <c r="A952">
        <v>101244</v>
      </c>
      <c r="B952" t="s">
        <v>251</v>
      </c>
      <c r="C952" s="1">
        <v>43300101</v>
      </c>
      <c r="D952" t="s">
        <v>67</v>
      </c>
      <c r="H952" t="str">
        <f t="shared" si="122"/>
        <v>01113580656</v>
      </c>
      <c r="I952" t="str">
        <f t="shared" si="122"/>
        <v>01113580656</v>
      </c>
      <c r="K952" t="str">
        <f>""</f>
        <v/>
      </c>
      <c r="M952" t="s">
        <v>68</v>
      </c>
      <c r="N952" t="str">
        <f t="shared" si="121"/>
        <v>FOR</v>
      </c>
      <c r="O952" t="s">
        <v>69</v>
      </c>
      <c r="P952" t="s">
        <v>75</v>
      </c>
      <c r="Q952">
        <v>2016</v>
      </c>
      <c r="R952" s="4">
        <v>42480</v>
      </c>
      <c r="S952" s="2">
        <v>42481</v>
      </c>
      <c r="T952" s="2">
        <v>42480</v>
      </c>
      <c r="U952" s="4">
        <v>42540</v>
      </c>
      <c r="V952" t="s">
        <v>71</v>
      </c>
      <c r="W952" t="str">
        <f>"                 523"</f>
        <v xml:space="preserve">                 523</v>
      </c>
      <c r="X952">
        <v>989.64</v>
      </c>
      <c r="Y952">
        <v>0</v>
      </c>
      <c r="Z952" s="5">
        <v>811.18</v>
      </c>
      <c r="AA952" s="3">
        <v>234</v>
      </c>
      <c r="AB952" s="5">
        <v>189816.12</v>
      </c>
      <c r="AC952">
        <v>811.18</v>
      </c>
      <c r="AD952">
        <v>234</v>
      </c>
      <c r="AE952" s="1">
        <v>189816.12</v>
      </c>
      <c r="AF952">
        <v>0</v>
      </c>
      <c r="AJ952">
        <v>0</v>
      </c>
      <c r="AK952">
        <v>0</v>
      </c>
      <c r="AL952">
        <v>0</v>
      </c>
      <c r="AM952">
        <v>0</v>
      </c>
      <c r="AN952">
        <v>0</v>
      </c>
      <c r="AO952">
        <v>0</v>
      </c>
      <c r="AP952" s="2">
        <v>42831</v>
      </c>
      <c r="AQ952" t="s">
        <v>72</v>
      </c>
      <c r="AR952" t="s">
        <v>72</v>
      </c>
      <c r="AS952">
        <v>348</v>
      </c>
      <c r="AT952" s="4">
        <v>42774</v>
      </c>
      <c r="AU952" t="s">
        <v>73</v>
      </c>
      <c r="AV952">
        <v>348</v>
      </c>
      <c r="AW952" s="4">
        <v>42774</v>
      </c>
      <c r="BD952">
        <v>0</v>
      </c>
      <c r="BN952" t="s">
        <v>74</v>
      </c>
    </row>
    <row r="953" spans="1:66">
      <c r="A953">
        <v>101244</v>
      </c>
      <c r="B953" t="s">
        <v>251</v>
      </c>
      <c r="C953" s="1">
        <v>43300101</v>
      </c>
      <c r="D953" t="s">
        <v>67</v>
      </c>
      <c r="H953" t="str">
        <f t="shared" si="122"/>
        <v>01113580656</v>
      </c>
      <c r="I953" t="str">
        <f t="shared" si="122"/>
        <v>01113580656</v>
      </c>
      <c r="K953" t="str">
        <f>""</f>
        <v/>
      </c>
      <c r="M953" t="s">
        <v>68</v>
      </c>
      <c r="N953" t="str">
        <f t="shared" si="121"/>
        <v>FOR</v>
      </c>
      <c r="O953" t="s">
        <v>69</v>
      </c>
      <c r="P953" t="s">
        <v>75</v>
      </c>
      <c r="Q953">
        <v>2016</v>
      </c>
      <c r="R953" s="4">
        <v>42493</v>
      </c>
      <c r="S953" s="2">
        <v>42496</v>
      </c>
      <c r="T953" s="2">
        <v>42493</v>
      </c>
      <c r="U953" s="4">
        <v>42553</v>
      </c>
      <c r="V953" t="s">
        <v>71</v>
      </c>
      <c r="W953" t="str">
        <f>"                 593"</f>
        <v xml:space="preserve">                 593</v>
      </c>
      <c r="X953" s="1">
        <v>10938.52</v>
      </c>
      <c r="Y953">
        <v>0</v>
      </c>
      <c r="Z953" s="5">
        <v>8966</v>
      </c>
      <c r="AA953" s="3">
        <v>242</v>
      </c>
      <c r="AB953" s="5">
        <v>2169772</v>
      </c>
      <c r="AC953" s="1">
        <v>8966</v>
      </c>
      <c r="AD953">
        <v>242</v>
      </c>
      <c r="AE953" s="1">
        <v>2169772</v>
      </c>
      <c r="AF953" s="1">
        <v>1972.52</v>
      </c>
      <c r="AJ953">
        <v>0</v>
      </c>
      <c r="AK953">
        <v>0</v>
      </c>
      <c r="AL953">
        <v>0</v>
      </c>
      <c r="AM953">
        <v>0</v>
      </c>
      <c r="AN953">
        <v>0</v>
      </c>
      <c r="AO953">
        <v>0</v>
      </c>
      <c r="AP953" s="2">
        <v>42831</v>
      </c>
      <c r="AQ953" t="s">
        <v>72</v>
      </c>
      <c r="AR953" t="s">
        <v>72</v>
      </c>
      <c r="AS953">
        <v>631</v>
      </c>
      <c r="AT953" s="4">
        <v>42795</v>
      </c>
      <c r="AU953" t="s">
        <v>73</v>
      </c>
      <c r="AV953">
        <v>631</v>
      </c>
      <c r="AW953" s="4">
        <v>42795</v>
      </c>
      <c r="BD953" s="1">
        <v>1972.52</v>
      </c>
      <c r="BN953" t="s">
        <v>74</v>
      </c>
    </row>
    <row r="954" spans="1:66">
      <c r="A954">
        <v>101247</v>
      </c>
      <c r="B954" t="s">
        <v>252</v>
      </c>
      <c r="C954" s="1">
        <v>43500101</v>
      </c>
      <c r="D954" t="s">
        <v>98</v>
      </c>
      <c r="H954" t="str">
        <f t="shared" ref="H954:H959" si="123">"MRLCMN78B64B963R"</f>
        <v>MRLCMN78B64B963R</v>
      </c>
      <c r="I954" t="str">
        <f t="shared" ref="I954:I959" si="124">"03577840618"</f>
        <v>03577840618</v>
      </c>
      <c r="K954" t="str">
        <f>""</f>
        <v/>
      </c>
      <c r="M954" t="s">
        <v>68</v>
      </c>
      <c r="N954" t="str">
        <f t="shared" ref="N954:N959" si="125">"ALTPRO"</f>
        <v>ALTPRO</v>
      </c>
      <c r="O954" t="s">
        <v>116</v>
      </c>
      <c r="P954" t="s">
        <v>75</v>
      </c>
      <c r="Q954">
        <v>2017</v>
      </c>
      <c r="R954" s="4">
        <v>42737</v>
      </c>
      <c r="S954" s="2">
        <v>42747</v>
      </c>
      <c r="T954" s="2">
        <v>42744</v>
      </c>
      <c r="U954" s="4">
        <v>42804</v>
      </c>
      <c r="V954" t="s">
        <v>71</v>
      </c>
      <c r="W954" t="str">
        <f>"                 1/A"</f>
        <v xml:space="preserve">                 1/A</v>
      </c>
      <c r="X954" s="1">
        <v>3157.85</v>
      </c>
      <c r="Y954">
        <v>-517.67999999999995</v>
      </c>
      <c r="Z954" s="5">
        <v>2640.17</v>
      </c>
      <c r="AA954" s="3">
        <v>-39</v>
      </c>
      <c r="AB954" s="5">
        <v>-102966.63</v>
      </c>
      <c r="AC954" s="1">
        <v>2640.17</v>
      </c>
      <c r="AD954">
        <v>-39</v>
      </c>
      <c r="AE954" s="1">
        <v>-102966.63</v>
      </c>
      <c r="AF954">
        <v>0</v>
      </c>
      <c r="AJ954">
        <v>-517.67999999999995</v>
      </c>
      <c r="AK954" s="1">
        <v>2640.17</v>
      </c>
      <c r="AL954" s="1">
        <v>2640.17</v>
      </c>
      <c r="AM954">
        <v>-517.67999999999995</v>
      </c>
      <c r="AN954" s="1">
        <v>2640.17</v>
      </c>
      <c r="AO954" s="1">
        <v>2640.17</v>
      </c>
      <c r="AP954" s="2">
        <v>42831</v>
      </c>
      <c r="AQ954" t="s">
        <v>72</v>
      </c>
      <c r="AR954" t="s">
        <v>72</v>
      </c>
      <c r="AS954">
        <v>129</v>
      </c>
      <c r="AT954" s="4">
        <v>42765</v>
      </c>
      <c r="AV954">
        <v>129</v>
      </c>
      <c r="AW954" s="4">
        <v>42765</v>
      </c>
      <c r="BD954">
        <v>0</v>
      </c>
      <c r="BN954" t="s">
        <v>74</v>
      </c>
    </row>
    <row r="955" spans="1:66">
      <c r="A955">
        <v>101247</v>
      </c>
      <c r="B955" t="s">
        <v>252</v>
      </c>
      <c r="C955" s="1">
        <v>43500101</v>
      </c>
      <c r="D955" t="s">
        <v>98</v>
      </c>
      <c r="H955" t="str">
        <f t="shared" si="123"/>
        <v>MRLCMN78B64B963R</v>
      </c>
      <c r="I955" t="str">
        <f t="shared" si="124"/>
        <v>03577840618</v>
      </c>
      <c r="K955" t="str">
        <f>""</f>
        <v/>
      </c>
      <c r="M955" t="s">
        <v>68</v>
      </c>
      <c r="N955" t="str">
        <f t="shared" si="125"/>
        <v>ALTPRO</v>
      </c>
      <c r="O955" t="s">
        <v>116</v>
      </c>
      <c r="P955" t="s">
        <v>75</v>
      </c>
      <c r="Q955">
        <v>2017</v>
      </c>
      <c r="R955" s="4">
        <v>42737</v>
      </c>
      <c r="S955" s="2">
        <v>42747</v>
      </c>
      <c r="T955" s="2">
        <v>42744</v>
      </c>
      <c r="U955" s="4">
        <v>42804</v>
      </c>
      <c r="V955" t="s">
        <v>71</v>
      </c>
      <c r="W955" t="str">
        <f>"                 2/A"</f>
        <v xml:space="preserve">                 2/A</v>
      </c>
      <c r="X955" s="1">
        <v>2196</v>
      </c>
      <c r="Y955">
        <v>-360</v>
      </c>
      <c r="Z955" s="5">
        <v>1836</v>
      </c>
      <c r="AA955" s="3">
        <v>-39</v>
      </c>
      <c r="AB955" s="5">
        <v>-71604</v>
      </c>
      <c r="AC955" s="1">
        <v>1836</v>
      </c>
      <c r="AD955">
        <v>-39</v>
      </c>
      <c r="AE955" s="1">
        <v>-71604</v>
      </c>
      <c r="AF955">
        <v>0</v>
      </c>
      <c r="AJ955">
        <v>-360</v>
      </c>
      <c r="AK955" s="1">
        <v>1836</v>
      </c>
      <c r="AL955" s="1">
        <v>1836</v>
      </c>
      <c r="AM955">
        <v>-360</v>
      </c>
      <c r="AN955" s="1">
        <v>1836</v>
      </c>
      <c r="AO955" s="1">
        <v>1836</v>
      </c>
      <c r="AP955" s="2">
        <v>42831</v>
      </c>
      <c r="AQ955" t="s">
        <v>72</v>
      </c>
      <c r="AR955" t="s">
        <v>72</v>
      </c>
      <c r="AS955">
        <v>129</v>
      </c>
      <c r="AT955" s="4">
        <v>42765</v>
      </c>
      <c r="AV955">
        <v>129</v>
      </c>
      <c r="AW955" s="4">
        <v>42765</v>
      </c>
      <c r="BD955">
        <v>0</v>
      </c>
      <c r="BN955" t="s">
        <v>74</v>
      </c>
    </row>
    <row r="956" spans="1:66">
      <c r="A956">
        <v>101247</v>
      </c>
      <c r="B956" t="s">
        <v>252</v>
      </c>
      <c r="C956" s="1">
        <v>43500101</v>
      </c>
      <c r="D956" t="s">
        <v>98</v>
      </c>
      <c r="H956" t="str">
        <f t="shared" si="123"/>
        <v>MRLCMN78B64B963R</v>
      </c>
      <c r="I956" t="str">
        <f t="shared" si="124"/>
        <v>03577840618</v>
      </c>
      <c r="K956" t="str">
        <f>""</f>
        <v/>
      </c>
      <c r="M956" t="s">
        <v>68</v>
      </c>
      <c r="N956" t="str">
        <f t="shared" si="125"/>
        <v>ALTPRO</v>
      </c>
      <c r="O956" t="s">
        <v>116</v>
      </c>
      <c r="P956" t="s">
        <v>75</v>
      </c>
      <c r="Q956">
        <v>2017</v>
      </c>
      <c r="R956" s="4">
        <v>42767</v>
      </c>
      <c r="S956" s="2">
        <v>42772</v>
      </c>
      <c r="T956" s="2">
        <v>42769</v>
      </c>
      <c r="U956" s="4">
        <v>42829</v>
      </c>
      <c r="V956" t="s">
        <v>71</v>
      </c>
      <c r="W956" t="str">
        <f>"                 3/A"</f>
        <v xml:space="preserve">                 3/A</v>
      </c>
      <c r="X956" s="1">
        <v>2142.3200000000002</v>
      </c>
      <c r="Y956">
        <v>-351.2</v>
      </c>
      <c r="Z956" s="5">
        <v>1791.12</v>
      </c>
      <c r="AA956" s="3">
        <v>-53</v>
      </c>
      <c r="AB956" s="5">
        <v>-94929.36</v>
      </c>
      <c r="AC956" s="1">
        <v>1791.12</v>
      </c>
      <c r="AD956">
        <v>-53</v>
      </c>
      <c r="AE956" s="1">
        <v>-94929.36</v>
      </c>
      <c r="AF956">
        <v>0</v>
      </c>
      <c r="AJ956" s="1">
        <v>1791.12</v>
      </c>
      <c r="AK956" s="1">
        <v>1791.12</v>
      </c>
      <c r="AL956" s="1">
        <v>1791.12</v>
      </c>
      <c r="AM956" s="1">
        <v>1791.12</v>
      </c>
      <c r="AN956" s="1">
        <v>1791.12</v>
      </c>
      <c r="AO956" s="1">
        <v>1791.12</v>
      </c>
      <c r="AP956" s="2">
        <v>42831</v>
      </c>
      <c r="AQ956" t="s">
        <v>72</v>
      </c>
      <c r="AR956" t="s">
        <v>72</v>
      </c>
      <c r="AS956">
        <v>388</v>
      </c>
      <c r="AT956" s="4">
        <v>42776</v>
      </c>
      <c r="AV956">
        <v>388</v>
      </c>
      <c r="AW956" s="4">
        <v>42776</v>
      </c>
      <c r="BD956">
        <v>0</v>
      </c>
      <c r="BN956" t="s">
        <v>74</v>
      </c>
    </row>
    <row r="957" spans="1:66">
      <c r="A957">
        <v>101247</v>
      </c>
      <c r="B957" t="s">
        <v>252</v>
      </c>
      <c r="C957" s="1">
        <v>43500101</v>
      </c>
      <c r="D957" t="s">
        <v>98</v>
      </c>
      <c r="H957" t="str">
        <f t="shared" si="123"/>
        <v>MRLCMN78B64B963R</v>
      </c>
      <c r="I957" t="str">
        <f t="shared" si="124"/>
        <v>03577840618</v>
      </c>
      <c r="K957" t="str">
        <f>""</f>
        <v/>
      </c>
      <c r="M957" t="s">
        <v>68</v>
      </c>
      <c r="N957" t="str">
        <f t="shared" si="125"/>
        <v>ALTPRO</v>
      </c>
      <c r="O957" t="s">
        <v>116</v>
      </c>
      <c r="P957" t="s">
        <v>75</v>
      </c>
      <c r="Q957">
        <v>2017</v>
      </c>
      <c r="R957" s="4">
        <v>42767</v>
      </c>
      <c r="S957" s="2">
        <v>42772</v>
      </c>
      <c r="T957" s="2">
        <v>42769</v>
      </c>
      <c r="U957" s="4">
        <v>42829</v>
      </c>
      <c r="V957" t="s">
        <v>71</v>
      </c>
      <c r="W957" t="str">
        <f>"                 4/A"</f>
        <v xml:space="preserve">                 4/A</v>
      </c>
      <c r="X957" s="1">
        <v>2196</v>
      </c>
      <c r="Y957">
        <v>-360</v>
      </c>
      <c r="Z957" s="5">
        <v>1836</v>
      </c>
      <c r="AA957" s="3">
        <v>-53</v>
      </c>
      <c r="AB957" s="5">
        <v>-97308</v>
      </c>
      <c r="AC957" s="1">
        <v>1836</v>
      </c>
      <c r="AD957">
        <v>-53</v>
      </c>
      <c r="AE957" s="1">
        <v>-97308</v>
      </c>
      <c r="AF957">
        <v>0</v>
      </c>
      <c r="AJ957" s="1">
        <v>1836</v>
      </c>
      <c r="AK957" s="1">
        <v>1836</v>
      </c>
      <c r="AL957" s="1">
        <v>1836</v>
      </c>
      <c r="AM957" s="1">
        <v>1836</v>
      </c>
      <c r="AN957" s="1">
        <v>1836</v>
      </c>
      <c r="AO957" s="1">
        <v>1836</v>
      </c>
      <c r="AP957" s="2">
        <v>42831</v>
      </c>
      <c r="AQ957" t="s">
        <v>72</v>
      </c>
      <c r="AR957" t="s">
        <v>72</v>
      </c>
      <c r="AS957">
        <v>388</v>
      </c>
      <c r="AT957" s="4">
        <v>42776</v>
      </c>
      <c r="AV957">
        <v>388</v>
      </c>
      <c r="AW957" s="4">
        <v>42776</v>
      </c>
      <c r="BD957">
        <v>0</v>
      </c>
      <c r="BN957" t="s">
        <v>74</v>
      </c>
    </row>
    <row r="958" spans="1:66">
      <c r="A958">
        <v>101247</v>
      </c>
      <c r="B958" t="s">
        <v>252</v>
      </c>
      <c r="C958" s="1">
        <v>43500101</v>
      </c>
      <c r="D958" t="s">
        <v>98</v>
      </c>
      <c r="H958" t="str">
        <f t="shared" si="123"/>
        <v>MRLCMN78B64B963R</v>
      </c>
      <c r="I958" t="str">
        <f t="shared" si="124"/>
        <v>03577840618</v>
      </c>
      <c r="K958" t="str">
        <f>""</f>
        <v/>
      </c>
      <c r="M958" t="s">
        <v>68</v>
      </c>
      <c r="N958" t="str">
        <f t="shared" si="125"/>
        <v>ALTPRO</v>
      </c>
      <c r="O958" t="s">
        <v>116</v>
      </c>
      <c r="P958" t="s">
        <v>75</v>
      </c>
      <c r="Q958">
        <v>2017</v>
      </c>
      <c r="R958" s="4">
        <v>42795</v>
      </c>
      <c r="S958" s="2">
        <v>42797</v>
      </c>
      <c r="T958" s="2">
        <v>42796</v>
      </c>
      <c r="U958" s="4">
        <v>42856</v>
      </c>
      <c r="V958" t="s">
        <v>71</v>
      </c>
      <c r="W958" t="str">
        <f>"                 5/A"</f>
        <v xml:space="preserve">                 5/A</v>
      </c>
      <c r="X958" s="1">
        <v>2827.86</v>
      </c>
      <c r="Y958">
        <v>-463.58</v>
      </c>
      <c r="Z958" s="5">
        <v>2364.2800000000002</v>
      </c>
      <c r="AA958" s="3">
        <v>-59</v>
      </c>
      <c r="AB958" s="5">
        <v>-139492.51999999999</v>
      </c>
      <c r="AC958" s="1">
        <v>2364.2800000000002</v>
      </c>
      <c r="AD958">
        <v>-59</v>
      </c>
      <c r="AE958" s="1">
        <v>-139492.51999999999</v>
      </c>
      <c r="AF958">
        <v>0</v>
      </c>
      <c r="AJ958" s="1">
        <v>2364.2800000000002</v>
      </c>
      <c r="AK958" s="1">
        <v>2364.2800000000002</v>
      </c>
      <c r="AL958" s="1">
        <v>2364.2800000000002</v>
      </c>
      <c r="AM958" s="1">
        <v>2364.2800000000002</v>
      </c>
      <c r="AN958" s="1">
        <v>2364.2800000000002</v>
      </c>
      <c r="AO958" s="1">
        <v>2364.2800000000002</v>
      </c>
      <c r="AP958" s="2">
        <v>42831</v>
      </c>
      <c r="AQ958" t="s">
        <v>72</v>
      </c>
      <c r="AR958" t="s">
        <v>72</v>
      </c>
      <c r="AS958">
        <v>728</v>
      </c>
      <c r="AT958" s="4">
        <v>42797</v>
      </c>
      <c r="AV958">
        <v>728</v>
      </c>
      <c r="AW958" s="4">
        <v>42797</v>
      </c>
      <c r="BD958">
        <v>0</v>
      </c>
      <c r="BN958" t="s">
        <v>74</v>
      </c>
    </row>
    <row r="959" spans="1:66">
      <c r="A959">
        <v>101247</v>
      </c>
      <c r="B959" t="s">
        <v>252</v>
      </c>
      <c r="C959" s="1">
        <v>43500101</v>
      </c>
      <c r="D959" t="s">
        <v>98</v>
      </c>
      <c r="H959" t="str">
        <f t="shared" si="123"/>
        <v>MRLCMN78B64B963R</v>
      </c>
      <c r="I959" t="str">
        <f t="shared" si="124"/>
        <v>03577840618</v>
      </c>
      <c r="K959" t="str">
        <f>""</f>
        <v/>
      </c>
      <c r="M959" t="s">
        <v>68</v>
      </c>
      <c r="N959" t="str">
        <f t="shared" si="125"/>
        <v>ALTPRO</v>
      </c>
      <c r="O959" t="s">
        <v>116</v>
      </c>
      <c r="P959" t="s">
        <v>75</v>
      </c>
      <c r="Q959">
        <v>2017</v>
      </c>
      <c r="R959" s="4">
        <v>42795</v>
      </c>
      <c r="S959" s="2">
        <v>42797</v>
      </c>
      <c r="T959" s="2">
        <v>42796</v>
      </c>
      <c r="U959" s="4">
        <v>42856</v>
      </c>
      <c r="V959" t="s">
        <v>71</v>
      </c>
      <c r="W959" t="str">
        <f>"                 6/A"</f>
        <v xml:space="preserve">                 6/A</v>
      </c>
      <c r="X959" s="1">
        <v>2196</v>
      </c>
      <c r="Y959">
        <v>-360</v>
      </c>
      <c r="Z959" s="5">
        <v>1836</v>
      </c>
      <c r="AA959" s="3">
        <v>-59</v>
      </c>
      <c r="AB959" s="5">
        <v>-108324</v>
      </c>
      <c r="AC959" s="1">
        <v>1836</v>
      </c>
      <c r="AD959">
        <v>-59</v>
      </c>
      <c r="AE959" s="1">
        <v>-108324</v>
      </c>
      <c r="AF959">
        <v>0</v>
      </c>
      <c r="AJ959" s="1">
        <v>1836</v>
      </c>
      <c r="AK959" s="1">
        <v>1836</v>
      </c>
      <c r="AL959" s="1">
        <v>1836</v>
      </c>
      <c r="AM959" s="1">
        <v>1836</v>
      </c>
      <c r="AN959" s="1">
        <v>1836</v>
      </c>
      <c r="AO959" s="1">
        <v>1836</v>
      </c>
      <c r="AP959" s="2">
        <v>42831</v>
      </c>
      <c r="AQ959" t="s">
        <v>72</v>
      </c>
      <c r="AR959" t="s">
        <v>72</v>
      </c>
      <c r="AS959">
        <v>728</v>
      </c>
      <c r="AT959" s="4">
        <v>42797</v>
      </c>
      <c r="AV959">
        <v>728</v>
      </c>
      <c r="AW959" s="4">
        <v>42797</v>
      </c>
      <c r="BD959">
        <v>0</v>
      </c>
      <c r="BN959" t="s">
        <v>74</v>
      </c>
    </row>
    <row r="960" spans="1:66">
      <c r="A960">
        <v>101253</v>
      </c>
      <c r="B960" t="s">
        <v>253</v>
      </c>
      <c r="C960" s="1">
        <v>43300101</v>
      </c>
      <c r="D960" t="s">
        <v>67</v>
      </c>
      <c r="H960" t="str">
        <f>"00551370372"</f>
        <v>00551370372</v>
      </c>
      <c r="I960" t="str">
        <f>"00551370372"</f>
        <v>00551370372</v>
      </c>
      <c r="K960" t="str">
        <f>""</f>
        <v/>
      </c>
      <c r="M960" t="s">
        <v>68</v>
      </c>
      <c r="N960" t="str">
        <f>"FOR"</f>
        <v>FOR</v>
      </c>
      <c r="O960" t="s">
        <v>69</v>
      </c>
      <c r="P960" t="s">
        <v>75</v>
      </c>
      <c r="Q960">
        <v>2017</v>
      </c>
      <c r="R960" s="4">
        <v>42780</v>
      </c>
      <c r="S960" s="2">
        <v>42786</v>
      </c>
      <c r="T960" s="2">
        <v>42781</v>
      </c>
      <c r="U960" s="4">
        <v>42841</v>
      </c>
      <c r="V960" t="s">
        <v>71</v>
      </c>
      <c r="W960" t="str">
        <f>"               10014"</f>
        <v xml:space="preserve">               10014</v>
      </c>
      <c r="X960" s="1">
        <v>7938.77</v>
      </c>
      <c r="Y960">
        <v>0</v>
      </c>
      <c r="Z960" s="5">
        <v>7938.77</v>
      </c>
      <c r="AA960" s="3">
        <v>-32</v>
      </c>
      <c r="AB960" s="5">
        <v>-254040.64</v>
      </c>
      <c r="AC960" s="1">
        <v>7938.77</v>
      </c>
      <c r="AD960">
        <v>-32</v>
      </c>
      <c r="AE960" s="1">
        <v>-254040.64</v>
      </c>
      <c r="AF960">
        <v>0</v>
      </c>
      <c r="AJ960" s="1">
        <v>7938.77</v>
      </c>
      <c r="AK960" s="1">
        <v>7938.77</v>
      </c>
      <c r="AL960" s="1">
        <v>7938.77</v>
      </c>
      <c r="AM960" s="1">
        <v>7938.77</v>
      </c>
      <c r="AN960" s="1">
        <v>7938.77</v>
      </c>
      <c r="AO960" s="1">
        <v>7938.77</v>
      </c>
      <c r="AP960" s="2">
        <v>42831</v>
      </c>
      <c r="AQ960" t="s">
        <v>72</v>
      </c>
      <c r="AR960" t="s">
        <v>72</v>
      </c>
      <c r="AS960">
        <v>763</v>
      </c>
      <c r="AT960" s="4">
        <v>42809</v>
      </c>
      <c r="AV960">
        <v>763</v>
      </c>
      <c r="AW960" s="4">
        <v>42809</v>
      </c>
      <c r="BD960">
        <v>0</v>
      </c>
      <c r="BN960" t="s">
        <v>74</v>
      </c>
    </row>
    <row r="961" spans="1:66" hidden="1">
      <c r="A961">
        <v>101259</v>
      </c>
      <c r="B961" t="s">
        <v>254</v>
      </c>
      <c r="C961" s="1">
        <v>43500101</v>
      </c>
      <c r="D961" t="s">
        <v>98</v>
      </c>
      <c r="H961" t="str">
        <f t="shared" ref="H961:I963" si="126">"01340740156"</f>
        <v>01340740156</v>
      </c>
      <c r="I961" t="str">
        <f t="shared" si="126"/>
        <v>01340740156</v>
      </c>
      <c r="K961" t="str">
        <f>""</f>
        <v/>
      </c>
      <c r="M961" t="s">
        <v>68</v>
      </c>
      <c r="N961" t="str">
        <f>"ALTFIN"</f>
        <v>ALTFIN</v>
      </c>
      <c r="O961" t="s">
        <v>102</v>
      </c>
      <c r="P961" t="s">
        <v>82</v>
      </c>
      <c r="Q961">
        <v>2017</v>
      </c>
      <c r="R961" s="4">
        <v>42755</v>
      </c>
      <c r="S961" s="2">
        <v>42755</v>
      </c>
      <c r="T961" s="2">
        <v>42755</v>
      </c>
      <c r="U961" s="4">
        <v>42815</v>
      </c>
      <c r="V961" t="s">
        <v>71</v>
      </c>
      <c r="W961" t="str">
        <f>"                0120"</f>
        <v xml:space="preserve">                0120</v>
      </c>
      <c r="X961">
        <v>0</v>
      </c>
      <c r="Y961">
        <v>220</v>
      </c>
      <c r="Z961" s="3">
        <v>220</v>
      </c>
      <c r="AA961" s="3">
        <v>-57</v>
      </c>
      <c r="AB961" s="5">
        <v>-12540</v>
      </c>
      <c r="AC961">
        <v>220</v>
      </c>
      <c r="AD961">
        <v>-57</v>
      </c>
      <c r="AE961" s="1">
        <v>-12540</v>
      </c>
      <c r="AF961">
        <v>0</v>
      </c>
      <c r="AJ961">
        <v>220</v>
      </c>
      <c r="AK961">
        <v>220</v>
      </c>
      <c r="AL961">
        <v>220</v>
      </c>
      <c r="AM961">
        <v>220</v>
      </c>
      <c r="AN961">
        <v>220</v>
      </c>
      <c r="AO961">
        <v>220</v>
      </c>
      <c r="AP961" s="2">
        <v>42831</v>
      </c>
      <c r="AQ961" t="s">
        <v>72</v>
      </c>
      <c r="AR961" t="s">
        <v>72</v>
      </c>
      <c r="AS961">
        <v>39</v>
      </c>
      <c r="AT961" s="4">
        <v>42758</v>
      </c>
      <c r="AV961">
        <v>39</v>
      </c>
      <c r="AW961" s="4">
        <v>42758</v>
      </c>
      <c r="BD961">
        <v>0</v>
      </c>
      <c r="BN961" t="s">
        <v>74</v>
      </c>
    </row>
    <row r="962" spans="1:66" hidden="1">
      <c r="A962">
        <v>101259</v>
      </c>
      <c r="B962" t="s">
        <v>254</v>
      </c>
      <c r="C962" s="1">
        <v>43500101</v>
      </c>
      <c r="D962" t="s">
        <v>98</v>
      </c>
      <c r="H962" t="str">
        <f t="shared" si="126"/>
        <v>01340740156</v>
      </c>
      <c r="I962" t="str">
        <f t="shared" si="126"/>
        <v>01340740156</v>
      </c>
      <c r="K962" t="str">
        <f>""</f>
        <v/>
      </c>
      <c r="M962" t="s">
        <v>68</v>
      </c>
      <c r="N962" t="str">
        <f>"ALTFIN"</f>
        <v>ALTFIN</v>
      </c>
      <c r="O962" t="s">
        <v>102</v>
      </c>
      <c r="P962" t="s">
        <v>83</v>
      </c>
      <c r="Q962">
        <v>2017</v>
      </c>
      <c r="R962" s="4">
        <v>42786</v>
      </c>
      <c r="S962" s="2">
        <v>42787</v>
      </c>
      <c r="T962" s="2">
        <v>42787</v>
      </c>
      <c r="U962" s="4">
        <v>42847</v>
      </c>
      <c r="V962" t="s">
        <v>71</v>
      </c>
      <c r="W962" t="str">
        <f>"                0220"</f>
        <v xml:space="preserve">                0220</v>
      </c>
      <c r="X962">
        <v>0</v>
      </c>
      <c r="Y962">
        <v>220</v>
      </c>
      <c r="Z962" s="3">
        <v>220</v>
      </c>
      <c r="AA962" s="3">
        <v>-60</v>
      </c>
      <c r="AB962" s="5">
        <v>-13200</v>
      </c>
      <c r="AC962">
        <v>220</v>
      </c>
      <c r="AD962">
        <v>-60</v>
      </c>
      <c r="AE962" s="1">
        <v>-13200</v>
      </c>
      <c r="AF962">
        <v>0</v>
      </c>
      <c r="AJ962">
        <v>220</v>
      </c>
      <c r="AK962">
        <v>220</v>
      </c>
      <c r="AL962">
        <v>220</v>
      </c>
      <c r="AM962">
        <v>220</v>
      </c>
      <c r="AN962">
        <v>220</v>
      </c>
      <c r="AO962">
        <v>220</v>
      </c>
      <c r="AP962" s="2">
        <v>42831</v>
      </c>
      <c r="AQ962" t="s">
        <v>72</v>
      </c>
      <c r="AR962" t="s">
        <v>72</v>
      </c>
      <c r="AS962">
        <v>519</v>
      </c>
      <c r="AT962" s="4">
        <v>42787</v>
      </c>
      <c r="AV962">
        <v>519</v>
      </c>
      <c r="AW962" s="4">
        <v>42787</v>
      </c>
      <c r="BD962">
        <v>0</v>
      </c>
      <c r="BN962" t="s">
        <v>74</v>
      </c>
    </row>
    <row r="963" spans="1:66" hidden="1">
      <c r="A963">
        <v>101259</v>
      </c>
      <c r="B963" t="s">
        <v>254</v>
      </c>
      <c r="C963" s="1">
        <v>43500101</v>
      </c>
      <c r="D963" t="s">
        <v>98</v>
      </c>
      <c r="H963" t="str">
        <f t="shared" si="126"/>
        <v>01340740156</v>
      </c>
      <c r="I963" t="str">
        <f t="shared" si="126"/>
        <v>01340740156</v>
      </c>
      <c r="K963" t="str">
        <f>""</f>
        <v/>
      </c>
      <c r="M963" t="s">
        <v>68</v>
      </c>
      <c r="N963" t="str">
        <f>"ALTFIN"</f>
        <v>ALTFIN</v>
      </c>
      <c r="O963" t="s">
        <v>102</v>
      </c>
      <c r="P963" t="s">
        <v>84</v>
      </c>
      <c r="Q963">
        <v>2017</v>
      </c>
      <c r="R963" s="4">
        <v>42815</v>
      </c>
      <c r="S963" s="2">
        <v>42815</v>
      </c>
      <c r="T963" s="2">
        <v>42815</v>
      </c>
      <c r="U963" s="4">
        <v>42875</v>
      </c>
      <c r="V963" t="s">
        <v>71</v>
      </c>
      <c r="W963" t="str">
        <f>"                0321"</f>
        <v xml:space="preserve">                0321</v>
      </c>
      <c r="X963">
        <v>0</v>
      </c>
      <c r="Y963">
        <v>220</v>
      </c>
      <c r="Z963" s="3">
        <v>220</v>
      </c>
      <c r="AA963" s="3">
        <v>-60</v>
      </c>
      <c r="AB963" s="5">
        <v>-13200</v>
      </c>
      <c r="AC963">
        <v>220</v>
      </c>
      <c r="AD963">
        <v>-60</v>
      </c>
      <c r="AE963" s="1">
        <v>-13200</v>
      </c>
      <c r="AF963">
        <v>0</v>
      </c>
      <c r="AJ963">
        <v>220</v>
      </c>
      <c r="AK963">
        <v>220</v>
      </c>
      <c r="AL963">
        <v>220</v>
      </c>
      <c r="AM963">
        <v>220</v>
      </c>
      <c r="AN963">
        <v>220</v>
      </c>
      <c r="AO963">
        <v>220</v>
      </c>
      <c r="AP963" s="2">
        <v>42831</v>
      </c>
      <c r="AQ963" t="s">
        <v>72</v>
      </c>
      <c r="AR963" t="s">
        <v>72</v>
      </c>
      <c r="AS963">
        <v>816</v>
      </c>
      <c r="AT963" s="4">
        <v>42815</v>
      </c>
      <c r="AV963">
        <v>816</v>
      </c>
      <c r="AW963" s="4">
        <v>42815</v>
      </c>
      <c r="BD963">
        <v>0</v>
      </c>
      <c r="BN963" t="s">
        <v>74</v>
      </c>
    </row>
    <row r="964" spans="1:66">
      <c r="A964">
        <v>101264</v>
      </c>
      <c r="B964" t="s">
        <v>255</v>
      </c>
      <c r="C964" s="1">
        <v>43500101</v>
      </c>
      <c r="D964" t="s">
        <v>98</v>
      </c>
      <c r="H964" t="str">
        <f>"FMUMRZ80R09L086N"</f>
        <v>FMUMRZ80R09L086N</v>
      </c>
      <c r="I964" t="str">
        <f>"01487320622"</f>
        <v>01487320622</v>
      </c>
      <c r="K964" t="str">
        <f>""</f>
        <v/>
      </c>
      <c r="M964" t="s">
        <v>68</v>
      </c>
      <c r="N964" t="str">
        <f>"ALTPRO"</f>
        <v>ALTPRO</v>
      </c>
      <c r="O964" t="s">
        <v>116</v>
      </c>
      <c r="P964" t="s">
        <v>75</v>
      </c>
      <c r="Q964">
        <v>2017</v>
      </c>
      <c r="R964" s="4">
        <v>42737</v>
      </c>
      <c r="S964" s="2">
        <v>42747</v>
      </c>
      <c r="T964" s="2">
        <v>42745</v>
      </c>
      <c r="U964" s="4">
        <v>42805</v>
      </c>
      <c r="V964" t="s">
        <v>71</v>
      </c>
      <c r="W964" t="str">
        <f>"         FATTPA 1_17"</f>
        <v xml:space="preserve">         FATTPA 1_17</v>
      </c>
      <c r="X964" s="1">
        <v>2166.66</v>
      </c>
      <c r="Y964">
        <v>0</v>
      </c>
      <c r="Z964" s="5">
        <v>2166.66</v>
      </c>
      <c r="AA964" s="3">
        <v>-40</v>
      </c>
      <c r="AB964" s="5">
        <v>-86666.4</v>
      </c>
      <c r="AC964" s="1">
        <v>2166.66</v>
      </c>
      <c r="AD964">
        <v>-40</v>
      </c>
      <c r="AE964" s="1">
        <v>-86666.4</v>
      </c>
      <c r="AF964">
        <v>0</v>
      </c>
      <c r="AJ964" s="1">
        <v>2166.66</v>
      </c>
      <c r="AK964" s="1">
        <v>2166.66</v>
      </c>
      <c r="AL964" s="1">
        <v>2166.66</v>
      </c>
      <c r="AM964" s="1">
        <v>2166.66</v>
      </c>
      <c r="AN964" s="1">
        <v>2166.66</v>
      </c>
      <c r="AO964" s="1">
        <v>2166.66</v>
      </c>
      <c r="AP964" s="2">
        <v>42831</v>
      </c>
      <c r="AQ964" t="s">
        <v>72</v>
      </c>
      <c r="AR964" t="s">
        <v>72</v>
      </c>
      <c r="AS964">
        <v>146</v>
      </c>
      <c r="AT964" s="4">
        <v>42765</v>
      </c>
      <c r="AV964">
        <v>146</v>
      </c>
      <c r="AW964" s="4">
        <v>42765</v>
      </c>
      <c r="BD964">
        <v>0</v>
      </c>
      <c r="BN964" t="s">
        <v>74</v>
      </c>
    </row>
    <row r="965" spans="1:66">
      <c r="A965">
        <v>101264</v>
      </c>
      <c r="B965" t="s">
        <v>255</v>
      </c>
      <c r="C965" s="1">
        <v>43500101</v>
      </c>
      <c r="D965" t="s">
        <v>98</v>
      </c>
      <c r="H965" t="str">
        <f>"FMUMRZ80R09L086N"</f>
        <v>FMUMRZ80R09L086N</v>
      </c>
      <c r="I965" t="str">
        <f>"01487320622"</f>
        <v>01487320622</v>
      </c>
      <c r="K965" t="str">
        <f>""</f>
        <v/>
      </c>
      <c r="M965" t="s">
        <v>68</v>
      </c>
      <c r="N965" t="str">
        <f>"ALTPRO"</f>
        <v>ALTPRO</v>
      </c>
      <c r="O965" t="s">
        <v>116</v>
      </c>
      <c r="P965" t="s">
        <v>75</v>
      </c>
      <c r="Q965">
        <v>2017</v>
      </c>
      <c r="R965" s="4">
        <v>42795</v>
      </c>
      <c r="S965" s="2">
        <v>42795</v>
      </c>
      <c r="T965" s="2">
        <v>42795</v>
      </c>
      <c r="U965" s="4">
        <v>42855</v>
      </c>
      <c r="V965" t="s">
        <v>71</v>
      </c>
      <c r="W965" t="str">
        <f>"         FATTPA 2_17"</f>
        <v xml:space="preserve">         FATTPA 2_17</v>
      </c>
      <c r="X965" s="1">
        <v>2166.66</v>
      </c>
      <c r="Y965">
        <v>0</v>
      </c>
      <c r="Z965" s="5">
        <v>2166.66</v>
      </c>
      <c r="AA965" s="3">
        <v>-46</v>
      </c>
      <c r="AB965" s="5">
        <v>-99666.36</v>
      </c>
      <c r="AC965" s="1">
        <v>2166.66</v>
      </c>
      <c r="AD965">
        <v>-46</v>
      </c>
      <c r="AE965" s="1">
        <v>-99666.36</v>
      </c>
      <c r="AF965">
        <v>0</v>
      </c>
      <c r="AJ965" s="1">
        <v>2166.66</v>
      </c>
      <c r="AK965" s="1">
        <v>2166.66</v>
      </c>
      <c r="AL965" s="1">
        <v>2166.66</v>
      </c>
      <c r="AM965" s="1">
        <v>2166.66</v>
      </c>
      <c r="AN965" s="1">
        <v>2166.66</v>
      </c>
      <c r="AO965" s="1">
        <v>2166.66</v>
      </c>
      <c r="AP965" s="2">
        <v>42831</v>
      </c>
      <c r="AQ965" t="s">
        <v>72</v>
      </c>
      <c r="AR965" t="s">
        <v>72</v>
      </c>
      <c r="AS965">
        <v>765</v>
      </c>
      <c r="AT965" s="4">
        <v>42809</v>
      </c>
      <c r="AV965">
        <v>765</v>
      </c>
      <c r="AW965" s="4">
        <v>42809</v>
      </c>
      <c r="BD965">
        <v>0</v>
      </c>
      <c r="BN965" t="s">
        <v>74</v>
      </c>
    </row>
    <row r="966" spans="1:66">
      <c r="A966">
        <v>101276</v>
      </c>
      <c r="B966" t="s">
        <v>256</v>
      </c>
      <c r="C966" s="1">
        <v>43300101</v>
      </c>
      <c r="D966" t="s">
        <v>67</v>
      </c>
      <c r="H966" t="str">
        <f>"04029180371"</f>
        <v>04029180371</v>
      </c>
      <c r="I966" t="str">
        <f>"00691781207"</f>
        <v>00691781207</v>
      </c>
      <c r="K966" t="str">
        <f>""</f>
        <v/>
      </c>
      <c r="M966" t="s">
        <v>68</v>
      </c>
      <c r="N966" t="str">
        <f t="shared" ref="N966:N974" si="127">"FOR"</f>
        <v>FOR</v>
      </c>
      <c r="O966" t="s">
        <v>69</v>
      </c>
      <c r="P966" t="s">
        <v>75</v>
      </c>
      <c r="Q966">
        <v>2016</v>
      </c>
      <c r="R966" s="4">
        <v>42720</v>
      </c>
      <c r="S966" s="2">
        <v>42725</v>
      </c>
      <c r="T966" s="2">
        <v>42723</v>
      </c>
      <c r="U966" s="4">
        <v>42783</v>
      </c>
      <c r="V966" t="s">
        <v>71</v>
      </c>
      <c r="W966" t="str">
        <f>"         16055615 Q1"</f>
        <v xml:space="preserve">         16055615 Q1</v>
      </c>
      <c r="X966" s="1">
        <v>1073.5999999999999</v>
      </c>
      <c r="Y966">
        <v>0</v>
      </c>
      <c r="Z966" s="5">
        <v>880</v>
      </c>
      <c r="AA966" s="3">
        <v>-9</v>
      </c>
      <c r="AB966" s="5">
        <v>-7920</v>
      </c>
      <c r="AC966">
        <v>880</v>
      </c>
      <c r="AD966">
        <v>-9</v>
      </c>
      <c r="AE966" s="1">
        <v>-7920</v>
      </c>
      <c r="AF966">
        <v>0</v>
      </c>
      <c r="AJ966">
        <v>0</v>
      </c>
      <c r="AK966">
        <v>0</v>
      </c>
      <c r="AL966">
        <v>0</v>
      </c>
      <c r="AM966">
        <v>0</v>
      </c>
      <c r="AN966">
        <v>0</v>
      </c>
      <c r="AO966">
        <v>0</v>
      </c>
      <c r="AP966" s="2">
        <v>42831</v>
      </c>
      <c r="AQ966" t="s">
        <v>72</v>
      </c>
      <c r="AR966" t="s">
        <v>72</v>
      </c>
      <c r="AS966">
        <v>327</v>
      </c>
      <c r="AT966" s="4">
        <v>42774</v>
      </c>
      <c r="AV966">
        <v>327</v>
      </c>
      <c r="AW966" s="4">
        <v>42774</v>
      </c>
      <c r="BD966">
        <v>0</v>
      </c>
      <c r="BN966" t="s">
        <v>74</v>
      </c>
    </row>
    <row r="967" spans="1:66">
      <c r="A967">
        <v>101281</v>
      </c>
      <c r="B967" t="s">
        <v>257</v>
      </c>
      <c r="C967" s="1">
        <v>43300101</v>
      </c>
      <c r="D967" t="s">
        <v>67</v>
      </c>
      <c r="H967" t="str">
        <f>"04640180636"</f>
        <v>04640180636</v>
      </c>
      <c r="I967" t="str">
        <f>"04640180636"</f>
        <v>04640180636</v>
      </c>
      <c r="K967" t="str">
        <f>""</f>
        <v/>
      </c>
      <c r="M967" t="s">
        <v>68</v>
      </c>
      <c r="N967" t="str">
        <f t="shared" si="127"/>
        <v>FOR</v>
      </c>
      <c r="O967" t="s">
        <v>69</v>
      </c>
      <c r="P967" t="s">
        <v>75</v>
      </c>
      <c r="Q967">
        <v>2016</v>
      </c>
      <c r="R967" s="4">
        <v>42475</v>
      </c>
      <c r="S967" s="2">
        <v>42516</v>
      </c>
      <c r="T967" s="2">
        <v>42514</v>
      </c>
      <c r="U967" s="4">
        <v>42574</v>
      </c>
      <c r="V967" t="s">
        <v>71</v>
      </c>
      <c r="W967" t="str">
        <f>"               9/415"</f>
        <v xml:space="preserve">               9/415</v>
      </c>
      <c r="X967" s="1">
        <v>1967.62</v>
      </c>
      <c r="Y967">
        <v>0</v>
      </c>
      <c r="Z967" s="5">
        <v>1612.8</v>
      </c>
      <c r="AA967" s="3">
        <v>206</v>
      </c>
      <c r="AB967" s="5">
        <v>332236.79999999999</v>
      </c>
      <c r="AC967" s="1">
        <v>1612.8</v>
      </c>
      <c r="AD967">
        <v>206</v>
      </c>
      <c r="AE967" s="1">
        <v>332236.79999999999</v>
      </c>
      <c r="AF967">
        <v>0</v>
      </c>
      <c r="AJ967">
        <v>0</v>
      </c>
      <c r="AK967">
        <v>0</v>
      </c>
      <c r="AL967">
        <v>0</v>
      </c>
      <c r="AM967">
        <v>0</v>
      </c>
      <c r="AN967">
        <v>0</v>
      </c>
      <c r="AO967">
        <v>0</v>
      </c>
      <c r="AP967" s="2">
        <v>42831</v>
      </c>
      <c r="AQ967" t="s">
        <v>72</v>
      </c>
      <c r="AR967" t="s">
        <v>72</v>
      </c>
      <c r="AS967">
        <v>431</v>
      </c>
      <c r="AT967" s="4">
        <v>42780</v>
      </c>
      <c r="AU967" t="s">
        <v>73</v>
      </c>
      <c r="AV967">
        <v>431</v>
      </c>
      <c r="AW967" s="4">
        <v>42780</v>
      </c>
      <c r="BD967">
        <v>0</v>
      </c>
      <c r="BN967" t="s">
        <v>74</v>
      </c>
    </row>
    <row r="968" spans="1:66">
      <c r="A968">
        <v>101281</v>
      </c>
      <c r="B968" t="s">
        <v>257</v>
      </c>
      <c r="C968" s="1">
        <v>43300101</v>
      </c>
      <c r="D968" t="s">
        <v>67</v>
      </c>
      <c r="H968" t="str">
        <f>"04640180636"</f>
        <v>04640180636</v>
      </c>
      <c r="I968" t="str">
        <f>"04640180636"</f>
        <v>04640180636</v>
      </c>
      <c r="K968" t="str">
        <f>""</f>
        <v/>
      </c>
      <c r="M968" t="s">
        <v>68</v>
      </c>
      <c r="N968" t="str">
        <f t="shared" si="127"/>
        <v>FOR</v>
      </c>
      <c r="O968" t="s">
        <v>69</v>
      </c>
      <c r="P968" t="s">
        <v>75</v>
      </c>
      <c r="Q968">
        <v>2016</v>
      </c>
      <c r="R968" s="4">
        <v>42489</v>
      </c>
      <c r="S968" s="2">
        <v>42516</v>
      </c>
      <c r="T968" s="2">
        <v>42514</v>
      </c>
      <c r="U968" s="4">
        <v>42574</v>
      </c>
      <c r="V968" t="s">
        <v>71</v>
      </c>
      <c r="W968" t="str">
        <f>"               9/451"</f>
        <v xml:space="preserve">               9/451</v>
      </c>
      <c r="X968" s="1">
        <v>2174.04</v>
      </c>
      <c r="Y968">
        <v>0</v>
      </c>
      <c r="Z968" s="5">
        <v>1782</v>
      </c>
      <c r="AA968" s="3">
        <v>206</v>
      </c>
      <c r="AB968" s="5">
        <v>367092</v>
      </c>
      <c r="AC968" s="1">
        <v>1782</v>
      </c>
      <c r="AD968">
        <v>206</v>
      </c>
      <c r="AE968" s="1">
        <v>367092</v>
      </c>
      <c r="AF968">
        <v>0</v>
      </c>
      <c r="AJ968">
        <v>0</v>
      </c>
      <c r="AK968">
        <v>0</v>
      </c>
      <c r="AL968">
        <v>0</v>
      </c>
      <c r="AM968">
        <v>0</v>
      </c>
      <c r="AN968">
        <v>0</v>
      </c>
      <c r="AO968">
        <v>0</v>
      </c>
      <c r="AP968" s="2">
        <v>42831</v>
      </c>
      <c r="AQ968" t="s">
        <v>72</v>
      </c>
      <c r="AR968" t="s">
        <v>72</v>
      </c>
      <c r="AS968">
        <v>431</v>
      </c>
      <c r="AT968" s="4">
        <v>42780</v>
      </c>
      <c r="AU968" t="s">
        <v>73</v>
      </c>
      <c r="AV968">
        <v>431</v>
      </c>
      <c r="AW968" s="4">
        <v>42780</v>
      </c>
      <c r="BD968">
        <v>0</v>
      </c>
      <c r="BN968" t="s">
        <v>74</v>
      </c>
    </row>
    <row r="969" spans="1:66">
      <c r="A969">
        <v>101293</v>
      </c>
      <c r="B969" t="s">
        <v>258</v>
      </c>
      <c r="C969" s="1">
        <v>43300101</v>
      </c>
      <c r="D969" t="s">
        <v>67</v>
      </c>
      <c r="H969" t="str">
        <f t="shared" ref="H969:I973" si="128">"07438910635"</f>
        <v>07438910635</v>
      </c>
      <c r="I969" t="str">
        <f t="shared" si="128"/>
        <v>07438910635</v>
      </c>
      <c r="K969" t="str">
        <f>""</f>
        <v/>
      </c>
      <c r="M969" t="s">
        <v>68</v>
      </c>
      <c r="N969" t="str">
        <f t="shared" si="127"/>
        <v>FOR</v>
      </c>
      <c r="O969" t="s">
        <v>69</v>
      </c>
      <c r="P969" t="s">
        <v>75</v>
      </c>
      <c r="Q969">
        <v>2016</v>
      </c>
      <c r="R969" s="4">
        <v>42520</v>
      </c>
      <c r="S969" s="2">
        <v>42584</v>
      </c>
      <c r="T969" s="2">
        <v>42584</v>
      </c>
      <c r="U969" s="4">
        <v>42644</v>
      </c>
      <c r="V969" t="s">
        <v>71</v>
      </c>
      <c r="W969" t="str">
        <f>"               2/397"</f>
        <v xml:space="preserve">               2/397</v>
      </c>
      <c r="X969">
        <v>311.83</v>
      </c>
      <c r="Y969">
        <v>0</v>
      </c>
      <c r="Z969" s="5">
        <v>255.6</v>
      </c>
      <c r="AA969" s="3">
        <v>149</v>
      </c>
      <c r="AB969" s="5">
        <v>38084.400000000001</v>
      </c>
      <c r="AC969">
        <v>255.6</v>
      </c>
      <c r="AD969">
        <v>149</v>
      </c>
      <c r="AE969" s="1">
        <v>38084.400000000001</v>
      </c>
      <c r="AF969">
        <v>0</v>
      </c>
      <c r="AJ969">
        <v>0</v>
      </c>
      <c r="AK969">
        <v>0</v>
      </c>
      <c r="AL969">
        <v>0</v>
      </c>
      <c r="AM969">
        <v>0</v>
      </c>
      <c r="AN969">
        <v>0</v>
      </c>
      <c r="AO969">
        <v>0</v>
      </c>
      <c r="AP969" s="2">
        <v>42831</v>
      </c>
      <c r="AQ969" t="s">
        <v>72</v>
      </c>
      <c r="AR969" t="s">
        <v>72</v>
      </c>
      <c r="AS969">
        <v>604</v>
      </c>
      <c r="AT969" s="4">
        <v>42793</v>
      </c>
      <c r="AU969" t="s">
        <v>73</v>
      </c>
      <c r="AV969">
        <v>604</v>
      </c>
      <c r="AW969" s="4">
        <v>42793</v>
      </c>
      <c r="BD969">
        <v>0</v>
      </c>
      <c r="BN969" t="s">
        <v>74</v>
      </c>
    </row>
    <row r="970" spans="1:66">
      <c r="A970">
        <v>101293</v>
      </c>
      <c r="B970" t="s">
        <v>258</v>
      </c>
      <c r="C970" s="1">
        <v>43300101</v>
      </c>
      <c r="D970" t="s">
        <v>67</v>
      </c>
      <c r="H970" t="str">
        <f t="shared" si="128"/>
        <v>07438910635</v>
      </c>
      <c r="I970" t="str">
        <f t="shared" si="128"/>
        <v>07438910635</v>
      </c>
      <c r="K970" t="str">
        <f>""</f>
        <v/>
      </c>
      <c r="M970" t="s">
        <v>68</v>
      </c>
      <c r="N970" t="str">
        <f t="shared" si="127"/>
        <v>FOR</v>
      </c>
      <c r="O970" t="s">
        <v>69</v>
      </c>
      <c r="P970" t="s">
        <v>75</v>
      </c>
      <c r="Q970">
        <v>2016</v>
      </c>
      <c r="R970" s="4">
        <v>42521</v>
      </c>
      <c r="S970" s="2">
        <v>42530</v>
      </c>
      <c r="T970" s="2">
        <v>42527</v>
      </c>
      <c r="U970" s="4">
        <v>42587</v>
      </c>
      <c r="V970" t="s">
        <v>71</v>
      </c>
      <c r="W970" t="str">
        <f>"               2/407"</f>
        <v xml:space="preserve">               2/407</v>
      </c>
      <c r="X970">
        <v>573.89</v>
      </c>
      <c r="Y970">
        <v>0</v>
      </c>
      <c r="Z970" s="5">
        <v>470.4</v>
      </c>
      <c r="AA970" s="3">
        <v>206</v>
      </c>
      <c r="AB970" s="5">
        <v>96902.399999999994</v>
      </c>
      <c r="AC970">
        <v>470.4</v>
      </c>
      <c r="AD970">
        <v>206</v>
      </c>
      <c r="AE970" s="1">
        <v>96902.399999999994</v>
      </c>
      <c r="AF970">
        <v>0</v>
      </c>
      <c r="AJ970">
        <v>0</v>
      </c>
      <c r="AK970">
        <v>0</v>
      </c>
      <c r="AL970">
        <v>0</v>
      </c>
      <c r="AM970">
        <v>0</v>
      </c>
      <c r="AN970">
        <v>0</v>
      </c>
      <c r="AO970">
        <v>0</v>
      </c>
      <c r="AP970" s="2">
        <v>42831</v>
      </c>
      <c r="AQ970" t="s">
        <v>72</v>
      </c>
      <c r="AR970" t="s">
        <v>72</v>
      </c>
      <c r="AS970">
        <v>604</v>
      </c>
      <c r="AT970" s="4">
        <v>42793</v>
      </c>
      <c r="AU970" t="s">
        <v>73</v>
      </c>
      <c r="AV970">
        <v>604</v>
      </c>
      <c r="AW970" s="4">
        <v>42793</v>
      </c>
      <c r="BD970">
        <v>0</v>
      </c>
      <c r="BN970" t="s">
        <v>74</v>
      </c>
    </row>
    <row r="971" spans="1:66">
      <c r="A971">
        <v>101293</v>
      </c>
      <c r="B971" t="s">
        <v>258</v>
      </c>
      <c r="C971" s="1">
        <v>43300101</v>
      </c>
      <c r="D971" t="s">
        <v>67</v>
      </c>
      <c r="H971" t="str">
        <f t="shared" si="128"/>
        <v>07438910635</v>
      </c>
      <c r="I971" t="str">
        <f t="shared" si="128"/>
        <v>07438910635</v>
      </c>
      <c r="K971" t="str">
        <f>""</f>
        <v/>
      </c>
      <c r="M971" t="s">
        <v>68</v>
      </c>
      <c r="N971" t="str">
        <f t="shared" si="127"/>
        <v>FOR</v>
      </c>
      <c r="O971" t="s">
        <v>69</v>
      </c>
      <c r="P971" t="s">
        <v>75</v>
      </c>
      <c r="Q971">
        <v>2016</v>
      </c>
      <c r="R971" s="4">
        <v>42548</v>
      </c>
      <c r="S971" s="2">
        <v>42556</v>
      </c>
      <c r="T971" s="2">
        <v>42552</v>
      </c>
      <c r="U971" s="4">
        <v>42612</v>
      </c>
      <c r="V971" t="s">
        <v>71</v>
      </c>
      <c r="W971" t="str">
        <f>"               2/459"</f>
        <v xml:space="preserve">               2/459</v>
      </c>
      <c r="X971">
        <v>286.94</v>
      </c>
      <c r="Y971">
        <v>0</v>
      </c>
      <c r="Z971" s="5">
        <v>235.2</v>
      </c>
      <c r="AA971" s="3">
        <v>181</v>
      </c>
      <c r="AB971" s="5">
        <v>42571.199999999997</v>
      </c>
      <c r="AC971">
        <v>235.2</v>
      </c>
      <c r="AD971">
        <v>181</v>
      </c>
      <c r="AE971" s="1">
        <v>42571.199999999997</v>
      </c>
      <c r="AF971">
        <v>0</v>
      </c>
      <c r="AJ971">
        <v>0</v>
      </c>
      <c r="AK971">
        <v>0</v>
      </c>
      <c r="AL971">
        <v>0</v>
      </c>
      <c r="AM971">
        <v>0</v>
      </c>
      <c r="AN971">
        <v>0</v>
      </c>
      <c r="AO971">
        <v>0</v>
      </c>
      <c r="AP971" s="2">
        <v>42831</v>
      </c>
      <c r="AQ971" t="s">
        <v>72</v>
      </c>
      <c r="AR971" t="s">
        <v>72</v>
      </c>
      <c r="AS971">
        <v>604</v>
      </c>
      <c r="AT971" s="4">
        <v>42793</v>
      </c>
      <c r="AU971" t="s">
        <v>73</v>
      </c>
      <c r="AV971">
        <v>604</v>
      </c>
      <c r="AW971" s="4">
        <v>42793</v>
      </c>
      <c r="BD971">
        <v>0</v>
      </c>
      <c r="BN971" t="s">
        <v>74</v>
      </c>
    </row>
    <row r="972" spans="1:66">
      <c r="A972">
        <v>101293</v>
      </c>
      <c r="B972" t="s">
        <v>258</v>
      </c>
      <c r="C972" s="1">
        <v>43300101</v>
      </c>
      <c r="D972" t="s">
        <v>67</v>
      </c>
      <c r="H972" t="str">
        <f t="shared" si="128"/>
        <v>07438910635</v>
      </c>
      <c r="I972" t="str">
        <f t="shared" si="128"/>
        <v>07438910635</v>
      </c>
      <c r="K972" t="str">
        <f>""</f>
        <v/>
      </c>
      <c r="M972" t="s">
        <v>68</v>
      </c>
      <c r="N972" t="str">
        <f t="shared" si="127"/>
        <v>FOR</v>
      </c>
      <c r="O972" t="s">
        <v>69</v>
      </c>
      <c r="P972" t="s">
        <v>75</v>
      </c>
      <c r="Q972">
        <v>2016</v>
      </c>
      <c r="R972" s="4">
        <v>42713</v>
      </c>
      <c r="S972" s="2">
        <v>42725</v>
      </c>
      <c r="T972" s="2">
        <v>42724</v>
      </c>
      <c r="U972" s="4">
        <v>42784</v>
      </c>
      <c r="V972" t="s">
        <v>71</v>
      </c>
      <c r="W972" t="str">
        <f>"               2/841"</f>
        <v xml:space="preserve">               2/841</v>
      </c>
      <c r="X972">
        <v>311.83</v>
      </c>
      <c r="Y972">
        <v>0</v>
      </c>
      <c r="Z972" s="5">
        <v>255.6</v>
      </c>
      <c r="AA972" s="3">
        <v>9</v>
      </c>
      <c r="AB972" s="5">
        <v>2300.4</v>
      </c>
      <c r="AC972">
        <v>255.6</v>
      </c>
      <c r="AD972">
        <v>9</v>
      </c>
      <c r="AE972" s="1">
        <v>2300.4</v>
      </c>
      <c r="AF972">
        <v>0</v>
      </c>
      <c r="AJ972">
        <v>0</v>
      </c>
      <c r="AK972">
        <v>0</v>
      </c>
      <c r="AL972">
        <v>0</v>
      </c>
      <c r="AM972">
        <v>0</v>
      </c>
      <c r="AN972">
        <v>0</v>
      </c>
      <c r="AO972">
        <v>0</v>
      </c>
      <c r="AP972" s="2">
        <v>42831</v>
      </c>
      <c r="AQ972" t="s">
        <v>72</v>
      </c>
      <c r="AR972" t="s">
        <v>72</v>
      </c>
      <c r="AS972">
        <v>604</v>
      </c>
      <c r="AT972" s="4">
        <v>42793</v>
      </c>
      <c r="AU972" t="s">
        <v>73</v>
      </c>
      <c r="AV972">
        <v>604</v>
      </c>
      <c r="AW972" s="4">
        <v>42793</v>
      </c>
      <c r="BD972">
        <v>0</v>
      </c>
      <c r="BN972" t="s">
        <v>74</v>
      </c>
    </row>
    <row r="973" spans="1:66">
      <c r="A973">
        <v>101293</v>
      </c>
      <c r="B973" t="s">
        <v>258</v>
      </c>
      <c r="C973" s="1">
        <v>43300101</v>
      </c>
      <c r="D973" t="s">
        <v>67</v>
      </c>
      <c r="H973" t="str">
        <f t="shared" si="128"/>
        <v>07438910635</v>
      </c>
      <c r="I973" t="str">
        <f t="shared" si="128"/>
        <v>07438910635</v>
      </c>
      <c r="K973" t="str">
        <f>""</f>
        <v/>
      </c>
      <c r="M973" t="s">
        <v>68</v>
      </c>
      <c r="N973" t="str">
        <f t="shared" si="127"/>
        <v>FOR</v>
      </c>
      <c r="O973" t="s">
        <v>69</v>
      </c>
      <c r="P973" t="s">
        <v>75</v>
      </c>
      <c r="Q973">
        <v>2016</v>
      </c>
      <c r="R973" s="4">
        <v>42720</v>
      </c>
      <c r="S973" s="2">
        <v>42725</v>
      </c>
      <c r="T973" s="2">
        <v>42724</v>
      </c>
      <c r="U973" s="4">
        <v>42784</v>
      </c>
      <c r="V973" t="s">
        <v>71</v>
      </c>
      <c r="W973" t="str">
        <f>"               2/862"</f>
        <v xml:space="preserve">               2/862</v>
      </c>
      <c r="X973">
        <v>860.83</v>
      </c>
      <c r="Y973">
        <v>0</v>
      </c>
      <c r="Z973" s="5">
        <v>705.6</v>
      </c>
      <c r="AA973" s="3">
        <v>9</v>
      </c>
      <c r="AB973" s="5">
        <v>6350.4</v>
      </c>
      <c r="AC973">
        <v>705.6</v>
      </c>
      <c r="AD973">
        <v>9</v>
      </c>
      <c r="AE973" s="1">
        <v>6350.4</v>
      </c>
      <c r="AF973">
        <v>0</v>
      </c>
      <c r="AJ973">
        <v>0</v>
      </c>
      <c r="AK973">
        <v>0</v>
      </c>
      <c r="AL973">
        <v>0</v>
      </c>
      <c r="AM973">
        <v>0</v>
      </c>
      <c r="AN973">
        <v>0</v>
      </c>
      <c r="AO973">
        <v>0</v>
      </c>
      <c r="AP973" s="2">
        <v>42831</v>
      </c>
      <c r="AQ973" t="s">
        <v>72</v>
      </c>
      <c r="AR973" t="s">
        <v>72</v>
      </c>
      <c r="AS973">
        <v>604</v>
      </c>
      <c r="AT973" s="4">
        <v>42793</v>
      </c>
      <c r="AU973" t="s">
        <v>73</v>
      </c>
      <c r="AV973">
        <v>604</v>
      </c>
      <c r="AW973" s="4">
        <v>42793</v>
      </c>
      <c r="BD973">
        <v>0</v>
      </c>
      <c r="BN973" t="s">
        <v>74</v>
      </c>
    </row>
    <row r="974" spans="1:66">
      <c r="A974">
        <v>101303</v>
      </c>
      <c r="B974" t="s">
        <v>259</v>
      </c>
      <c r="C974" s="1">
        <v>43300101</v>
      </c>
      <c r="D974" t="s">
        <v>67</v>
      </c>
      <c r="H974" t="str">
        <f>"01387750621"</f>
        <v>01387750621</v>
      </c>
      <c r="I974" t="str">
        <f>"01387750621"</f>
        <v>01387750621</v>
      </c>
      <c r="K974" t="str">
        <f>""</f>
        <v/>
      </c>
      <c r="M974" t="s">
        <v>68</v>
      </c>
      <c r="N974" t="str">
        <f t="shared" si="127"/>
        <v>FOR</v>
      </c>
      <c r="O974" t="s">
        <v>69</v>
      </c>
      <c r="P974" t="s">
        <v>75</v>
      </c>
      <c r="Q974">
        <v>2016</v>
      </c>
      <c r="R974" s="4">
        <v>42458</v>
      </c>
      <c r="S974" s="2">
        <v>42461</v>
      </c>
      <c r="T974" s="2">
        <v>42458</v>
      </c>
      <c r="U974" s="4">
        <v>42518</v>
      </c>
      <c r="V974" t="s">
        <v>71</v>
      </c>
      <c r="W974" t="str">
        <f>"                  80"</f>
        <v xml:space="preserve">                  80</v>
      </c>
      <c r="X974">
        <v>646.6</v>
      </c>
      <c r="Y974">
        <v>0</v>
      </c>
      <c r="Z974" s="5">
        <v>530</v>
      </c>
      <c r="AA974" s="3">
        <v>250</v>
      </c>
      <c r="AB974" s="5">
        <v>132500</v>
      </c>
      <c r="AC974">
        <v>530</v>
      </c>
      <c r="AD974">
        <v>250</v>
      </c>
      <c r="AE974" s="1">
        <v>132500</v>
      </c>
      <c r="AF974">
        <v>0</v>
      </c>
      <c r="AJ974">
        <v>0</v>
      </c>
      <c r="AK974">
        <v>0</v>
      </c>
      <c r="AL974">
        <v>0</v>
      </c>
      <c r="AM974">
        <v>0</v>
      </c>
      <c r="AN974">
        <v>0</v>
      </c>
      <c r="AO974">
        <v>0</v>
      </c>
      <c r="AP974" s="2">
        <v>42831</v>
      </c>
      <c r="AQ974" t="s">
        <v>72</v>
      </c>
      <c r="AR974" t="s">
        <v>72</v>
      </c>
      <c r="AS974">
        <v>226</v>
      </c>
      <c r="AT974" s="4">
        <v>42768</v>
      </c>
      <c r="AU974" t="s">
        <v>73</v>
      </c>
      <c r="AV974">
        <v>226</v>
      </c>
      <c r="AW974" s="4">
        <v>42768</v>
      </c>
      <c r="BD974">
        <v>0</v>
      </c>
      <c r="BN974" t="s">
        <v>74</v>
      </c>
    </row>
    <row r="975" spans="1:66">
      <c r="A975">
        <v>101304</v>
      </c>
      <c r="B975" t="s">
        <v>260</v>
      </c>
      <c r="C975" s="1">
        <v>43500101</v>
      </c>
      <c r="D975" t="s">
        <v>98</v>
      </c>
      <c r="H975" t="str">
        <f>"SPELSS70B19A064C"</f>
        <v>SPELSS70B19A064C</v>
      </c>
      <c r="I975" t="str">
        <f>"06616441215"</f>
        <v>06616441215</v>
      </c>
      <c r="K975" t="str">
        <f>""</f>
        <v/>
      </c>
      <c r="M975" t="s">
        <v>68</v>
      </c>
      <c r="N975" t="str">
        <f>"ALTPRO"</f>
        <v>ALTPRO</v>
      </c>
      <c r="O975" t="s">
        <v>116</v>
      </c>
      <c r="P975" t="s">
        <v>75</v>
      </c>
      <c r="Q975">
        <v>2017</v>
      </c>
      <c r="R975" s="4">
        <v>42753</v>
      </c>
      <c r="S975" s="2">
        <v>42754</v>
      </c>
      <c r="T975" s="2">
        <v>42753</v>
      </c>
      <c r="U975" s="4">
        <v>42813</v>
      </c>
      <c r="V975" t="s">
        <v>71</v>
      </c>
      <c r="W975" t="str">
        <f>"         FATTPA 1_17"</f>
        <v xml:space="preserve">         FATTPA 1_17</v>
      </c>
      <c r="X975" s="1">
        <v>2388.16</v>
      </c>
      <c r="Y975">
        <v>-477.63</v>
      </c>
      <c r="Z975" s="5">
        <v>1910.53</v>
      </c>
      <c r="AA975" s="3">
        <v>-48</v>
      </c>
      <c r="AB975" s="5">
        <v>-91705.44</v>
      </c>
      <c r="AC975" s="1">
        <v>1910.53</v>
      </c>
      <c r="AD975">
        <v>-48</v>
      </c>
      <c r="AE975" s="1">
        <v>-91705.44</v>
      </c>
      <c r="AF975">
        <v>0</v>
      </c>
      <c r="AJ975">
        <v>-477.63</v>
      </c>
      <c r="AK975" s="1">
        <v>1910.53</v>
      </c>
      <c r="AL975" s="1">
        <v>1910.53</v>
      </c>
      <c r="AM975">
        <v>-477.63</v>
      </c>
      <c r="AN975" s="1">
        <v>1910.53</v>
      </c>
      <c r="AO975" s="1">
        <v>1910.53</v>
      </c>
      <c r="AP975" s="2">
        <v>42831</v>
      </c>
      <c r="AQ975" t="s">
        <v>72</v>
      </c>
      <c r="AR975" t="s">
        <v>72</v>
      </c>
      <c r="AS975">
        <v>111</v>
      </c>
      <c r="AT975" s="4">
        <v>42765</v>
      </c>
      <c r="AV975">
        <v>111</v>
      </c>
      <c r="AW975" s="4">
        <v>42765</v>
      </c>
      <c r="BD975">
        <v>0</v>
      </c>
      <c r="BN975" t="s">
        <v>74</v>
      </c>
    </row>
    <row r="976" spans="1:66">
      <c r="A976">
        <v>101304</v>
      </c>
      <c r="B976" t="s">
        <v>260</v>
      </c>
      <c r="C976" s="1">
        <v>43500101</v>
      </c>
      <c r="D976" t="s">
        <v>98</v>
      </c>
      <c r="H976" t="str">
        <f>"SPELSS70B19A064C"</f>
        <v>SPELSS70B19A064C</v>
      </c>
      <c r="I976" t="str">
        <f>"06616441215"</f>
        <v>06616441215</v>
      </c>
      <c r="K976" t="str">
        <f>""</f>
        <v/>
      </c>
      <c r="M976" t="s">
        <v>68</v>
      </c>
      <c r="N976" t="str">
        <f>"ALTPRO"</f>
        <v>ALTPRO</v>
      </c>
      <c r="O976" t="s">
        <v>116</v>
      </c>
      <c r="P976" t="s">
        <v>75</v>
      </c>
      <c r="Q976">
        <v>2017</v>
      </c>
      <c r="R976" s="4">
        <v>42795</v>
      </c>
      <c r="S976" s="2">
        <v>42795</v>
      </c>
      <c r="T976" s="2">
        <v>42795</v>
      </c>
      <c r="U976" s="4">
        <v>42855</v>
      </c>
      <c r="V976" t="s">
        <v>71</v>
      </c>
      <c r="W976" t="str">
        <f>"         FATTPA 2_17"</f>
        <v xml:space="preserve">         FATTPA 2_17</v>
      </c>
      <c r="X976" s="1">
        <v>2353.04</v>
      </c>
      <c r="Y976">
        <v>-470.61</v>
      </c>
      <c r="Z976" s="5">
        <v>1882.43</v>
      </c>
      <c r="AA976" s="3">
        <v>-59</v>
      </c>
      <c r="AB976" s="5">
        <v>-111063.37</v>
      </c>
      <c r="AC976" s="1">
        <v>1882.43</v>
      </c>
      <c r="AD976">
        <v>-59</v>
      </c>
      <c r="AE976" s="1">
        <v>-111063.37</v>
      </c>
      <c r="AF976">
        <v>0</v>
      </c>
      <c r="AJ976" s="1">
        <v>1882.43</v>
      </c>
      <c r="AK976" s="1">
        <v>1882.43</v>
      </c>
      <c r="AL976" s="1">
        <v>1882.43</v>
      </c>
      <c r="AM976" s="1">
        <v>1882.43</v>
      </c>
      <c r="AN976" s="1">
        <v>1882.43</v>
      </c>
      <c r="AO976" s="1">
        <v>1882.43</v>
      </c>
      <c r="AP976" s="2">
        <v>42831</v>
      </c>
      <c r="AQ976" t="s">
        <v>72</v>
      </c>
      <c r="AR976" t="s">
        <v>72</v>
      </c>
      <c r="AS976">
        <v>697</v>
      </c>
      <c r="AT976" s="4">
        <v>42796</v>
      </c>
      <c r="AV976">
        <v>697</v>
      </c>
      <c r="AW976" s="4">
        <v>42796</v>
      </c>
      <c r="BD976">
        <v>0</v>
      </c>
      <c r="BN976" t="s">
        <v>74</v>
      </c>
    </row>
    <row r="977" spans="1:66">
      <c r="A977">
        <v>101308</v>
      </c>
      <c r="B977" t="s">
        <v>261</v>
      </c>
      <c r="C977" s="1">
        <v>43500101</v>
      </c>
      <c r="D977" t="s">
        <v>98</v>
      </c>
      <c r="H977" t="str">
        <f>"CGNCML79P42E791A"</f>
        <v>CGNCML79P42E791A</v>
      </c>
      <c r="I977" t="str">
        <f>"01450650625"</f>
        <v>01450650625</v>
      </c>
      <c r="K977" t="str">
        <f>""</f>
        <v/>
      </c>
      <c r="M977" t="s">
        <v>68</v>
      </c>
      <c r="N977" t="str">
        <f>"ALTPRO"</f>
        <v>ALTPRO</v>
      </c>
      <c r="O977" t="s">
        <v>116</v>
      </c>
      <c r="P977" t="s">
        <v>75</v>
      </c>
      <c r="Q977">
        <v>2017</v>
      </c>
      <c r="R977" s="4">
        <v>42744</v>
      </c>
      <c r="S977" s="2">
        <v>42747</v>
      </c>
      <c r="T977" s="2">
        <v>42744</v>
      </c>
      <c r="U977" s="4">
        <v>42804</v>
      </c>
      <c r="V977" t="s">
        <v>71</v>
      </c>
      <c r="W977" t="str">
        <f>"         FATTPA 1_17"</f>
        <v xml:space="preserve">         FATTPA 1_17</v>
      </c>
      <c r="X977" s="1">
        <v>2634</v>
      </c>
      <c r="Y977">
        <v>-526.79999999999995</v>
      </c>
      <c r="Z977" s="5">
        <v>2107.1999999999998</v>
      </c>
      <c r="AA977" s="3">
        <v>-39</v>
      </c>
      <c r="AB977" s="5">
        <v>-82180.800000000003</v>
      </c>
      <c r="AC977" s="1">
        <v>2107.1999999999998</v>
      </c>
      <c r="AD977">
        <v>-39</v>
      </c>
      <c r="AE977" s="1">
        <v>-82180.800000000003</v>
      </c>
      <c r="AF977">
        <v>0</v>
      </c>
      <c r="AJ977">
        <v>-526.79999999999995</v>
      </c>
      <c r="AK977" s="1">
        <v>2107.1999999999998</v>
      </c>
      <c r="AL977" s="1">
        <v>2107.1999999999998</v>
      </c>
      <c r="AM977">
        <v>-526.79999999999995</v>
      </c>
      <c r="AN977" s="1">
        <v>2107.1999999999998</v>
      </c>
      <c r="AO977" s="1">
        <v>2107.1999999999998</v>
      </c>
      <c r="AP977" s="2">
        <v>42831</v>
      </c>
      <c r="AQ977" t="s">
        <v>72</v>
      </c>
      <c r="AR977" t="s">
        <v>72</v>
      </c>
      <c r="AS977">
        <v>128</v>
      </c>
      <c r="AT977" s="4">
        <v>42765</v>
      </c>
      <c r="AV977">
        <v>128</v>
      </c>
      <c r="AW977" s="4">
        <v>42765</v>
      </c>
      <c r="BD977">
        <v>0</v>
      </c>
      <c r="BN977" t="s">
        <v>74</v>
      </c>
    </row>
    <row r="978" spans="1:66">
      <c r="A978">
        <v>101308</v>
      </c>
      <c r="B978" t="s">
        <v>261</v>
      </c>
      <c r="C978" s="1">
        <v>43500101</v>
      </c>
      <c r="D978" t="s">
        <v>98</v>
      </c>
      <c r="H978" t="str">
        <f>"CGNCML79P42E791A"</f>
        <v>CGNCML79P42E791A</v>
      </c>
      <c r="I978" t="str">
        <f>"01450650625"</f>
        <v>01450650625</v>
      </c>
      <c r="K978" t="str">
        <f>""</f>
        <v/>
      </c>
      <c r="M978" t="s">
        <v>68</v>
      </c>
      <c r="N978" t="str">
        <f>"ALTPRO"</f>
        <v>ALTPRO</v>
      </c>
      <c r="O978" t="s">
        <v>116</v>
      </c>
      <c r="P978" t="s">
        <v>75</v>
      </c>
      <c r="Q978">
        <v>2017</v>
      </c>
      <c r="R978" s="4">
        <v>42773</v>
      </c>
      <c r="S978" s="2">
        <v>42774</v>
      </c>
      <c r="T978" s="2">
        <v>42773</v>
      </c>
      <c r="U978" s="4">
        <v>42833</v>
      </c>
      <c r="V978" t="s">
        <v>71</v>
      </c>
      <c r="W978" t="str">
        <f>"         FATTPA 2_17"</f>
        <v xml:space="preserve">         FATTPA 2_17</v>
      </c>
      <c r="X978" s="1">
        <v>1633.08</v>
      </c>
      <c r="Y978">
        <v>-326.62</v>
      </c>
      <c r="Z978" s="5">
        <v>1306.46</v>
      </c>
      <c r="AA978" s="3">
        <v>-57</v>
      </c>
      <c r="AB978" s="5">
        <v>-74468.22</v>
      </c>
      <c r="AC978" s="1">
        <v>1306.46</v>
      </c>
      <c r="AD978">
        <v>-57</v>
      </c>
      <c r="AE978" s="1">
        <v>-74468.22</v>
      </c>
      <c r="AF978">
        <v>0</v>
      </c>
      <c r="AJ978" s="1">
        <v>1306.46</v>
      </c>
      <c r="AK978" s="1">
        <v>1306.46</v>
      </c>
      <c r="AL978" s="1">
        <v>1306.46</v>
      </c>
      <c r="AM978" s="1">
        <v>1306.46</v>
      </c>
      <c r="AN978" s="1">
        <v>1306.46</v>
      </c>
      <c r="AO978" s="1">
        <v>1306.46</v>
      </c>
      <c r="AP978" s="2">
        <v>42831</v>
      </c>
      <c r="AQ978" t="s">
        <v>72</v>
      </c>
      <c r="AR978" t="s">
        <v>72</v>
      </c>
      <c r="AS978">
        <v>387</v>
      </c>
      <c r="AT978" s="4">
        <v>42776</v>
      </c>
      <c r="AV978">
        <v>387</v>
      </c>
      <c r="AW978" s="4">
        <v>42776</v>
      </c>
      <c r="BD978">
        <v>0</v>
      </c>
      <c r="BN978" t="s">
        <v>74</v>
      </c>
    </row>
    <row r="979" spans="1:66">
      <c r="A979">
        <v>101308</v>
      </c>
      <c r="B979" t="s">
        <v>261</v>
      </c>
      <c r="C979" s="1">
        <v>43500101</v>
      </c>
      <c r="D979" t="s">
        <v>98</v>
      </c>
      <c r="H979" t="str">
        <f>"CGNCML79P42E791A"</f>
        <v>CGNCML79P42E791A</v>
      </c>
      <c r="I979" t="str">
        <f>"01450650625"</f>
        <v>01450650625</v>
      </c>
      <c r="K979" t="str">
        <f>""</f>
        <v/>
      </c>
      <c r="M979" t="s">
        <v>68</v>
      </c>
      <c r="N979" t="str">
        <f>"ALTPRO"</f>
        <v>ALTPRO</v>
      </c>
      <c r="O979" t="s">
        <v>116</v>
      </c>
      <c r="P979" t="s">
        <v>75</v>
      </c>
      <c r="Q979">
        <v>2017</v>
      </c>
      <c r="R979" s="4">
        <v>42796</v>
      </c>
      <c r="S979" s="2">
        <v>42796</v>
      </c>
      <c r="T979" s="2">
        <v>42796</v>
      </c>
      <c r="U979" s="4">
        <v>42856</v>
      </c>
      <c r="V979" t="s">
        <v>71</v>
      </c>
      <c r="W979" t="str">
        <f>"         FATTPA 3_17"</f>
        <v xml:space="preserve">         FATTPA 3_17</v>
      </c>
      <c r="X979" s="1">
        <v>1211.6400000000001</v>
      </c>
      <c r="Y979">
        <v>-242.33</v>
      </c>
      <c r="Z979" s="5">
        <v>969.31</v>
      </c>
      <c r="AA979" s="3">
        <v>-59</v>
      </c>
      <c r="AB979" s="5">
        <v>-57189.29</v>
      </c>
      <c r="AC979">
        <v>969.31</v>
      </c>
      <c r="AD979">
        <v>-59</v>
      </c>
      <c r="AE979" s="1">
        <v>-57189.29</v>
      </c>
      <c r="AF979">
        <v>0</v>
      </c>
      <c r="AJ979">
        <v>969.31</v>
      </c>
      <c r="AK979">
        <v>969.31</v>
      </c>
      <c r="AL979">
        <v>969.31</v>
      </c>
      <c r="AM979">
        <v>969.31</v>
      </c>
      <c r="AN979">
        <v>969.31</v>
      </c>
      <c r="AO979">
        <v>969.31</v>
      </c>
      <c r="AP979" s="2">
        <v>42831</v>
      </c>
      <c r="AQ979" t="s">
        <v>72</v>
      </c>
      <c r="AR979" t="s">
        <v>72</v>
      </c>
      <c r="AS979">
        <v>724</v>
      </c>
      <c r="AT979" s="4">
        <v>42797</v>
      </c>
      <c r="AV979">
        <v>724</v>
      </c>
      <c r="AW979" s="4">
        <v>42797</v>
      </c>
      <c r="BD979">
        <v>0</v>
      </c>
      <c r="BN979" t="s">
        <v>74</v>
      </c>
    </row>
    <row r="980" spans="1:66" hidden="1">
      <c r="A980">
        <v>101309</v>
      </c>
      <c r="B980" t="s">
        <v>262</v>
      </c>
      <c r="C980" s="1">
        <v>43500101</v>
      </c>
      <c r="D980" t="s">
        <v>98</v>
      </c>
      <c r="H980" t="str">
        <f t="shared" ref="H980:I982" si="129">"00897081006"</f>
        <v>00897081006</v>
      </c>
      <c r="I980" t="str">
        <f t="shared" si="129"/>
        <v>00897081006</v>
      </c>
      <c r="K980" t="str">
        <f>""</f>
        <v/>
      </c>
      <c r="M980" t="s">
        <v>68</v>
      </c>
      <c r="N980" t="str">
        <f>"ALTFIN"</f>
        <v>ALTFIN</v>
      </c>
      <c r="O980" t="s">
        <v>102</v>
      </c>
      <c r="P980" t="s">
        <v>82</v>
      </c>
      <c r="Q980">
        <v>2017</v>
      </c>
      <c r="R980" s="4">
        <v>42755</v>
      </c>
      <c r="S980" s="2">
        <v>42755</v>
      </c>
      <c r="T980" s="2">
        <v>42755</v>
      </c>
      <c r="U980" s="4">
        <v>42815</v>
      </c>
      <c r="V980" t="s">
        <v>71</v>
      </c>
      <c r="W980" t="str">
        <f>"                0120"</f>
        <v xml:space="preserve">                0120</v>
      </c>
      <c r="X980">
        <v>0</v>
      </c>
      <c r="Y980" s="1">
        <v>5847.5</v>
      </c>
      <c r="Z980" s="5">
        <v>5847.5</v>
      </c>
      <c r="AA980" s="3">
        <v>-57</v>
      </c>
      <c r="AB980" s="5">
        <v>-333307.5</v>
      </c>
      <c r="AC980" s="1">
        <v>5847.5</v>
      </c>
      <c r="AD980">
        <v>-57</v>
      </c>
      <c r="AE980" s="1">
        <v>-333307.5</v>
      </c>
      <c r="AF980">
        <v>0</v>
      </c>
      <c r="AJ980" s="1">
        <v>5847.5</v>
      </c>
      <c r="AK980" s="1">
        <v>5847.5</v>
      </c>
      <c r="AL980" s="1">
        <v>5847.5</v>
      </c>
      <c r="AM980" s="1">
        <v>5847.5</v>
      </c>
      <c r="AN980" s="1">
        <v>5847.5</v>
      </c>
      <c r="AO980" s="1">
        <v>5847.5</v>
      </c>
      <c r="AP980" s="2">
        <v>42831</v>
      </c>
      <c r="AQ980" t="s">
        <v>72</v>
      </c>
      <c r="AR980" t="s">
        <v>72</v>
      </c>
      <c r="AS980">
        <v>40</v>
      </c>
      <c r="AT980" s="4">
        <v>42758</v>
      </c>
      <c r="AV980">
        <v>40</v>
      </c>
      <c r="AW980" s="4">
        <v>42758</v>
      </c>
      <c r="BD980">
        <v>0</v>
      </c>
      <c r="BN980" t="s">
        <v>74</v>
      </c>
    </row>
    <row r="981" spans="1:66" hidden="1">
      <c r="A981">
        <v>101309</v>
      </c>
      <c r="B981" t="s">
        <v>262</v>
      </c>
      <c r="C981" s="1">
        <v>43500101</v>
      </c>
      <c r="D981" t="s">
        <v>98</v>
      </c>
      <c r="H981" t="str">
        <f t="shared" si="129"/>
        <v>00897081006</v>
      </c>
      <c r="I981" t="str">
        <f t="shared" si="129"/>
        <v>00897081006</v>
      </c>
      <c r="K981" t="str">
        <f>""</f>
        <v/>
      </c>
      <c r="M981" t="s">
        <v>68</v>
      </c>
      <c r="N981" t="str">
        <f>"ALTFIN"</f>
        <v>ALTFIN</v>
      </c>
      <c r="O981" t="s">
        <v>102</v>
      </c>
      <c r="P981" t="s">
        <v>83</v>
      </c>
      <c r="Q981">
        <v>2017</v>
      </c>
      <c r="R981" s="4">
        <v>42786</v>
      </c>
      <c r="S981" s="2">
        <v>42787</v>
      </c>
      <c r="T981" s="2">
        <v>42787</v>
      </c>
      <c r="U981" s="4">
        <v>42847</v>
      </c>
      <c r="V981" t="s">
        <v>71</v>
      </c>
      <c r="W981" t="str">
        <f>"                0220"</f>
        <v xml:space="preserve">                0220</v>
      </c>
      <c r="X981">
        <v>0</v>
      </c>
      <c r="Y981" s="1">
        <v>5847.5</v>
      </c>
      <c r="Z981" s="5">
        <v>5847.5</v>
      </c>
      <c r="AA981" s="3">
        <v>-60</v>
      </c>
      <c r="AB981" s="5">
        <v>-350850</v>
      </c>
      <c r="AC981" s="1">
        <v>5847.5</v>
      </c>
      <c r="AD981">
        <v>-60</v>
      </c>
      <c r="AE981" s="1">
        <v>-350850</v>
      </c>
      <c r="AF981">
        <v>0</v>
      </c>
      <c r="AJ981" s="1">
        <v>5847.5</v>
      </c>
      <c r="AK981" s="1">
        <v>5847.5</v>
      </c>
      <c r="AL981" s="1">
        <v>5847.5</v>
      </c>
      <c r="AM981" s="1">
        <v>5847.5</v>
      </c>
      <c r="AN981" s="1">
        <v>5847.5</v>
      </c>
      <c r="AO981" s="1">
        <v>5847.5</v>
      </c>
      <c r="AP981" s="2">
        <v>42831</v>
      </c>
      <c r="AQ981" t="s">
        <v>72</v>
      </c>
      <c r="AR981" t="s">
        <v>72</v>
      </c>
      <c r="AS981">
        <v>520</v>
      </c>
      <c r="AT981" s="4">
        <v>42787</v>
      </c>
      <c r="AV981">
        <v>520</v>
      </c>
      <c r="AW981" s="4">
        <v>42787</v>
      </c>
      <c r="BD981">
        <v>0</v>
      </c>
      <c r="BN981" t="s">
        <v>74</v>
      </c>
    </row>
    <row r="982" spans="1:66" hidden="1">
      <c r="A982">
        <v>101309</v>
      </c>
      <c r="B982" t="s">
        <v>262</v>
      </c>
      <c r="C982" s="1">
        <v>43500101</v>
      </c>
      <c r="D982" t="s">
        <v>98</v>
      </c>
      <c r="H982" t="str">
        <f t="shared" si="129"/>
        <v>00897081006</v>
      </c>
      <c r="I982" t="str">
        <f t="shared" si="129"/>
        <v>00897081006</v>
      </c>
      <c r="K982" t="str">
        <f>""</f>
        <v/>
      </c>
      <c r="M982" t="s">
        <v>68</v>
      </c>
      <c r="N982" t="str">
        <f>"ALTFIN"</f>
        <v>ALTFIN</v>
      </c>
      <c r="O982" t="s">
        <v>102</v>
      </c>
      <c r="P982" t="s">
        <v>84</v>
      </c>
      <c r="Q982">
        <v>2017</v>
      </c>
      <c r="R982" s="4">
        <v>42815</v>
      </c>
      <c r="S982" s="2">
        <v>42815</v>
      </c>
      <c r="T982" s="2">
        <v>42815</v>
      </c>
      <c r="U982" s="4">
        <v>42875</v>
      </c>
      <c r="V982" t="s">
        <v>71</v>
      </c>
      <c r="W982" t="str">
        <f>"                0321"</f>
        <v xml:space="preserve">                0321</v>
      </c>
      <c r="X982">
        <v>0</v>
      </c>
      <c r="Y982" s="1">
        <v>5847.5</v>
      </c>
      <c r="Z982" s="5">
        <v>5847.5</v>
      </c>
      <c r="AA982" s="3">
        <v>-60</v>
      </c>
      <c r="AB982" s="5">
        <v>-350850</v>
      </c>
      <c r="AC982" s="1">
        <v>5847.5</v>
      </c>
      <c r="AD982">
        <v>-60</v>
      </c>
      <c r="AE982" s="1">
        <v>-350850</v>
      </c>
      <c r="AF982">
        <v>0</v>
      </c>
      <c r="AJ982" s="1">
        <v>5847.5</v>
      </c>
      <c r="AK982" s="1">
        <v>5847.5</v>
      </c>
      <c r="AL982" s="1">
        <v>5847.5</v>
      </c>
      <c r="AM982" s="1">
        <v>5847.5</v>
      </c>
      <c r="AN982" s="1">
        <v>5847.5</v>
      </c>
      <c r="AO982" s="1">
        <v>5847.5</v>
      </c>
      <c r="AP982" s="2">
        <v>42831</v>
      </c>
      <c r="AQ982" t="s">
        <v>72</v>
      </c>
      <c r="AR982" t="s">
        <v>72</v>
      </c>
      <c r="AS982">
        <v>817</v>
      </c>
      <c r="AT982" s="4">
        <v>42815</v>
      </c>
      <c r="AV982">
        <v>817</v>
      </c>
      <c r="AW982" s="4">
        <v>42815</v>
      </c>
      <c r="BD982">
        <v>0</v>
      </c>
      <c r="BN982" t="s">
        <v>74</v>
      </c>
    </row>
    <row r="983" spans="1:66">
      <c r="A983">
        <v>101311</v>
      </c>
      <c r="B983" t="s">
        <v>263</v>
      </c>
      <c r="C983" s="1">
        <v>43500101</v>
      </c>
      <c r="D983" t="s">
        <v>98</v>
      </c>
      <c r="H983" t="str">
        <f>"MSCBRC80E43A783T"</f>
        <v>MSCBRC80E43A783T</v>
      </c>
      <c r="I983" t="str">
        <f>"01482810627"</f>
        <v>01482810627</v>
      </c>
      <c r="K983" t="str">
        <f>""</f>
        <v/>
      </c>
      <c r="M983" t="s">
        <v>68</v>
      </c>
      <c r="N983" t="str">
        <f>"ALTPRO"</f>
        <v>ALTPRO</v>
      </c>
      <c r="O983" t="s">
        <v>116</v>
      </c>
      <c r="P983" t="s">
        <v>75</v>
      </c>
      <c r="Q983">
        <v>2017</v>
      </c>
      <c r="R983" s="4">
        <v>42761</v>
      </c>
      <c r="S983" s="2">
        <v>42761</v>
      </c>
      <c r="T983" s="2">
        <v>42761</v>
      </c>
      <c r="U983" s="4">
        <v>42821</v>
      </c>
      <c r="V983" t="s">
        <v>71</v>
      </c>
      <c r="W983" t="str">
        <f>"         FATTPA 1_17"</f>
        <v xml:space="preserve">         FATTPA 1_17</v>
      </c>
      <c r="X983" s="1">
        <v>3512</v>
      </c>
      <c r="Y983">
        <v>-702.4</v>
      </c>
      <c r="Z983" s="5">
        <v>2809.6</v>
      </c>
      <c r="AA983" s="3">
        <v>-49</v>
      </c>
      <c r="AB983" s="5">
        <v>-137670.39999999999</v>
      </c>
      <c r="AC983" s="1">
        <v>2809.6</v>
      </c>
      <c r="AD983">
        <v>-49</v>
      </c>
      <c r="AE983" s="1">
        <v>-137670.39999999999</v>
      </c>
      <c r="AF983">
        <v>0</v>
      </c>
      <c r="AJ983">
        <v>-702.4</v>
      </c>
      <c r="AK983" s="1">
        <v>2809.6</v>
      </c>
      <c r="AL983" s="1">
        <v>2809.6</v>
      </c>
      <c r="AM983">
        <v>-702.4</v>
      </c>
      <c r="AN983" s="1">
        <v>2809.6</v>
      </c>
      <c r="AO983" s="1">
        <v>2809.6</v>
      </c>
      <c r="AP983" s="2">
        <v>42831</v>
      </c>
      <c r="AQ983" t="s">
        <v>72</v>
      </c>
      <c r="AR983" t="s">
        <v>72</v>
      </c>
      <c r="AS983">
        <v>296</v>
      </c>
      <c r="AT983" s="4">
        <v>42772</v>
      </c>
      <c r="AV983">
        <v>296</v>
      </c>
      <c r="AW983" s="4">
        <v>42772</v>
      </c>
      <c r="BD983">
        <v>0</v>
      </c>
      <c r="BN983" t="s">
        <v>74</v>
      </c>
    </row>
    <row r="984" spans="1:66">
      <c r="A984">
        <v>101317</v>
      </c>
      <c r="B984" t="s">
        <v>264</v>
      </c>
      <c r="C984" s="1">
        <v>43300101</v>
      </c>
      <c r="D984" t="s">
        <v>67</v>
      </c>
      <c r="H984" t="str">
        <f t="shared" ref="H984:H1031" si="130">"DNGGTN52A01A783M"</f>
        <v>DNGGTN52A01A783M</v>
      </c>
      <c r="I984" t="str">
        <f t="shared" ref="I984:I1031" si="131">"00592310627"</f>
        <v>00592310627</v>
      </c>
      <c r="K984" t="str">
        <f>""</f>
        <v/>
      </c>
      <c r="M984" t="s">
        <v>68</v>
      </c>
      <c r="N984" t="str">
        <f t="shared" ref="N984:N1015" si="132">"FOR"</f>
        <v>FOR</v>
      </c>
      <c r="O984" t="s">
        <v>69</v>
      </c>
      <c r="P984" t="s">
        <v>75</v>
      </c>
      <c r="Q984">
        <v>2016</v>
      </c>
      <c r="R984" s="4">
        <v>42514</v>
      </c>
      <c r="S984" s="2">
        <v>42515</v>
      </c>
      <c r="T984" s="2">
        <v>42514</v>
      </c>
      <c r="U984" s="4">
        <v>42574</v>
      </c>
      <c r="V984" t="s">
        <v>71</v>
      </c>
      <c r="W984" t="str">
        <f>"       000085-2016-E"</f>
        <v xml:space="preserve">       000085-2016-E</v>
      </c>
      <c r="X984">
        <v>42.7</v>
      </c>
      <c r="Y984">
        <v>0</v>
      </c>
      <c r="Z984" s="5">
        <v>35</v>
      </c>
      <c r="AA984" s="3">
        <v>198</v>
      </c>
      <c r="AB984" s="5">
        <v>6930</v>
      </c>
      <c r="AC984">
        <v>35</v>
      </c>
      <c r="AD984">
        <v>198</v>
      </c>
      <c r="AE984" s="1">
        <v>6930</v>
      </c>
      <c r="AF984">
        <v>7.7</v>
      </c>
      <c r="AJ984">
        <v>0</v>
      </c>
      <c r="AK984">
        <v>0</v>
      </c>
      <c r="AL984">
        <v>0</v>
      </c>
      <c r="AM984">
        <v>0</v>
      </c>
      <c r="AN984">
        <v>0</v>
      </c>
      <c r="AO984">
        <v>0</v>
      </c>
      <c r="AP984" s="2">
        <v>42831</v>
      </c>
      <c r="AQ984" t="s">
        <v>72</v>
      </c>
      <c r="AR984" t="s">
        <v>72</v>
      </c>
      <c r="AS984">
        <v>292</v>
      </c>
      <c r="AT984" s="4">
        <v>42772</v>
      </c>
      <c r="AU984" t="s">
        <v>73</v>
      </c>
      <c r="AV984">
        <v>292</v>
      </c>
      <c r="AW984" s="4">
        <v>42772</v>
      </c>
      <c r="BD984">
        <v>7.7</v>
      </c>
      <c r="BN984" t="s">
        <v>74</v>
      </c>
    </row>
    <row r="985" spans="1:66">
      <c r="A985">
        <v>101317</v>
      </c>
      <c r="B985" t="s">
        <v>264</v>
      </c>
      <c r="C985" s="1">
        <v>43300101</v>
      </c>
      <c r="D985" t="s">
        <v>67</v>
      </c>
      <c r="H985" t="str">
        <f t="shared" si="130"/>
        <v>DNGGTN52A01A783M</v>
      </c>
      <c r="I985" t="str">
        <f t="shared" si="131"/>
        <v>00592310627</v>
      </c>
      <c r="K985" t="str">
        <f>""</f>
        <v/>
      </c>
      <c r="M985" t="s">
        <v>68</v>
      </c>
      <c r="N985" t="str">
        <f t="shared" si="132"/>
        <v>FOR</v>
      </c>
      <c r="O985" t="s">
        <v>69</v>
      </c>
      <c r="P985" t="s">
        <v>75</v>
      </c>
      <c r="Q985">
        <v>2016</v>
      </c>
      <c r="R985" s="4">
        <v>42514</v>
      </c>
      <c r="S985" s="2">
        <v>42515</v>
      </c>
      <c r="T985" s="2">
        <v>42514</v>
      </c>
      <c r="U985" s="4">
        <v>42574</v>
      </c>
      <c r="V985" t="s">
        <v>71</v>
      </c>
      <c r="W985" t="str">
        <f>"       000086-2016-E"</f>
        <v xml:space="preserve">       000086-2016-E</v>
      </c>
      <c r="X985">
        <v>21.35</v>
      </c>
      <c r="Y985">
        <v>0</v>
      </c>
      <c r="Z985" s="5">
        <v>17.5</v>
      </c>
      <c r="AA985" s="3">
        <v>198</v>
      </c>
      <c r="AB985" s="5">
        <v>3465</v>
      </c>
      <c r="AC985">
        <v>17.5</v>
      </c>
      <c r="AD985">
        <v>198</v>
      </c>
      <c r="AE985" s="1">
        <v>3465</v>
      </c>
      <c r="AF985">
        <v>3.85</v>
      </c>
      <c r="AJ985">
        <v>0</v>
      </c>
      <c r="AK985">
        <v>0</v>
      </c>
      <c r="AL985">
        <v>0</v>
      </c>
      <c r="AM985">
        <v>0</v>
      </c>
      <c r="AN985">
        <v>0</v>
      </c>
      <c r="AO985">
        <v>0</v>
      </c>
      <c r="AP985" s="2">
        <v>42831</v>
      </c>
      <c r="AQ985" t="s">
        <v>72</v>
      </c>
      <c r="AR985" t="s">
        <v>72</v>
      </c>
      <c r="AS985">
        <v>292</v>
      </c>
      <c r="AT985" s="4">
        <v>42772</v>
      </c>
      <c r="AU985" t="s">
        <v>73</v>
      </c>
      <c r="AV985">
        <v>292</v>
      </c>
      <c r="AW985" s="4">
        <v>42772</v>
      </c>
      <c r="BD985">
        <v>3.85</v>
      </c>
      <c r="BN985" t="s">
        <v>74</v>
      </c>
    </row>
    <row r="986" spans="1:66">
      <c r="A986">
        <v>101317</v>
      </c>
      <c r="B986" t="s">
        <v>264</v>
      </c>
      <c r="C986" s="1">
        <v>43300101</v>
      </c>
      <c r="D986" t="s">
        <v>67</v>
      </c>
      <c r="H986" t="str">
        <f t="shared" si="130"/>
        <v>DNGGTN52A01A783M</v>
      </c>
      <c r="I986" t="str">
        <f t="shared" si="131"/>
        <v>00592310627</v>
      </c>
      <c r="K986" t="str">
        <f>""</f>
        <v/>
      </c>
      <c r="M986" t="s">
        <v>68</v>
      </c>
      <c r="N986" t="str">
        <f t="shared" si="132"/>
        <v>FOR</v>
      </c>
      <c r="O986" t="s">
        <v>69</v>
      </c>
      <c r="P986" t="s">
        <v>75</v>
      </c>
      <c r="Q986">
        <v>2016</v>
      </c>
      <c r="R986" s="4">
        <v>42514</v>
      </c>
      <c r="S986" s="2">
        <v>42515</v>
      </c>
      <c r="T986" s="2">
        <v>42514</v>
      </c>
      <c r="U986" s="4">
        <v>42574</v>
      </c>
      <c r="V986" t="s">
        <v>71</v>
      </c>
      <c r="W986" t="str">
        <f>"       000087-2016-E"</f>
        <v xml:space="preserve">       000087-2016-E</v>
      </c>
      <c r="X986">
        <v>106.75</v>
      </c>
      <c r="Y986">
        <v>0</v>
      </c>
      <c r="Z986" s="5">
        <v>87.5</v>
      </c>
      <c r="AA986" s="3">
        <v>198</v>
      </c>
      <c r="AB986" s="5">
        <v>17325</v>
      </c>
      <c r="AC986">
        <v>87.5</v>
      </c>
      <c r="AD986">
        <v>198</v>
      </c>
      <c r="AE986" s="1">
        <v>17325</v>
      </c>
      <c r="AF986">
        <v>19.25</v>
      </c>
      <c r="AJ986">
        <v>0</v>
      </c>
      <c r="AK986">
        <v>0</v>
      </c>
      <c r="AL986">
        <v>0</v>
      </c>
      <c r="AM986">
        <v>0</v>
      </c>
      <c r="AN986">
        <v>0</v>
      </c>
      <c r="AO986">
        <v>0</v>
      </c>
      <c r="AP986" s="2">
        <v>42831</v>
      </c>
      <c r="AQ986" t="s">
        <v>72</v>
      </c>
      <c r="AR986" t="s">
        <v>72</v>
      </c>
      <c r="AS986">
        <v>292</v>
      </c>
      <c r="AT986" s="4">
        <v>42772</v>
      </c>
      <c r="AU986" t="s">
        <v>73</v>
      </c>
      <c r="AV986">
        <v>292</v>
      </c>
      <c r="AW986" s="4">
        <v>42772</v>
      </c>
      <c r="BD986">
        <v>19.25</v>
      </c>
      <c r="BN986" t="s">
        <v>74</v>
      </c>
    </row>
    <row r="987" spans="1:66">
      <c r="A987">
        <v>101317</v>
      </c>
      <c r="B987" t="s">
        <v>264</v>
      </c>
      <c r="C987" s="1">
        <v>43300101</v>
      </c>
      <c r="D987" t="s">
        <v>67</v>
      </c>
      <c r="H987" t="str">
        <f t="shared" si="130"/>
        <v>DNGGTN52A01A783M</v>
      </c>
      <c r="I987" t="str">
        <f t="shared" si="131"/>
        <v>00592310627</v>
      </c>
      <c r="K987" t="str">
        <f>""</f>
        <v/>
      </c>
      <c r="M987" t="s">
        <v>68</v>
      </c>
      <c r="N987" t="str">
        <f t="shared" si="132"/>
        <v>FOR</v>
      </c>
      <c r="O987" t="s">
        <v>69</v>
      </c>
      <c r="P987" t="s">
        <v>75</v>
      </c>
      <c r="Q987">
        <v>2016</v>
      </c>
      <c r="R987" s="4">
        <v>42514</v>
      </c>
      <c r="S987" s="2">
        <v>42515</v>
      </c>
      <c r="T987" s="2">
        <v>42514</v>
      </c>
      <c r="U987" s="4">
        <v>42574</v>
      </c>
      <c r="V987" t="s">
        <v>71</v>
      </c>
      <c r="W987" t="str">
        <f>"       000088-2016-E"</f>
        <v xml:space="preserve">       000088-2016-E</v>
      </c>
      <c r="X987">
        <v>164.7</v>
      </c>
      <c r="Y987">
        <v>0</v>
      </c>
      <c r="Z987" s="5">
        <v>135</v>
      </c>
      <c r="AA987" s="3">
        <v>198</v>
      </c>
      <c r="AB987" s="5">
        <v>26730</v>
      </c>
      <c r="AC987">
        <v>135</v>
      </c>
      <c r="AD987">
        <v>198</v>
      </c>
      <c r="AE987" s="1">
        <v>26730</v>
      </c>
      <c r="AF987">
        <v>29.7</v>
      </c>
      <c r="AJ987">
        <v>0</v>
      </c>
      <c r="AK987">
        <v>0</v>
      </c>
      <c r="AL987">
        <v>0</v>
      </c>
      <c r="AM987">
        <v>0</v>
      </c>
      <c r="AN987">
        <v>0</v>
      </c>
      <c r="AO987">
        <v>0</v>
      </c>
      <c r="AP987" s="2">
        <v>42831</v>
      </c>
      <c r="AQ987" t="s">
        <v>72</v>
      </c>
      <c r="AR987" t="s">
        <v>72</v>
      </c>
      <c r="AS987">
        <v>292</v>
      </c>
      <c r="AT987" s="4">
        <v>42772</v>
      </c>
      <c r="AU987" t="s">
        <v>73</v>
      </c>
      <c r="AV987">
        <v>292</v>
      </c>
      <c r="AW987" s="4">
        <v>42772</v>
      </c>
      <c r="BD987">
        <v>29.7</v>
      </c>
      <c r="BN987" t="s">
        <v>74</v>
      </c>
    </row>
    <row r="988" spans="1:66">
      <c r="A988">
        <v>101317</v>
      </c>
      <c r="B988" t="s">
        <v>264</v>
      </c>
      <c r="C988" s="1">
        <v>43300101</v>
      </c>
      <c r="D988" t="s">
        <v>67</v>
      </c>
      <c r="H988" t="str">
        <f t="shared" si="130"/>
        <v>DNGGTN52A01A783M</v>
      </c>
      <c r="I988" t="str">
        <f t="shared" si="131"/>
        <v>00592310627</v>
      </c>
      <c r="K988" t="str">
        <f>""</f>
        <v/>
      </c>
      <c r="M988" t="s">
        <v>68</v>
      </c>
      <c r="N988" t="str">
        <f t="shared" si="132"/>
        <v>FOR</v>
      </c>
      <c r="O988" t="s">
        <v>69</v>
      </c>
      <c r="P988" t="s">
        <v>75</v>
      </c>
      <c r="Q988">
        <v>2016</v>
      </c>
      <c r="R988" s="4">
        <v>42536</v>
      </c>
      <c r="S988" s="2">
        <v>42537</v>
      </c>
      <c r="T988" s="2">
        <v>42536</v>
      </c>
      <c r="U988" s="4">
        <v>42596</v>
      </c>
      <c r="V988" t="s">
        <v>71</v>
      </c>
      <c r="W988" t="str">
        <f>"       000092-2016-E"</f>
        <v xml:space="preserve">       000092-2016-E</v>
      </c>
      <c r="X988">
        <v>848.45</v>
      </c>
      <c r="Y988">
        <v>0</v>
      </c>
      <c r="Z988" s="5">
        <v>695.45</v>
      </c>
      <c r="AA988" s="3">
        <v>183</v>
      </c>
      <c r="AB988" s="5">
        <v>127267.35</v>
      </c>
      <c r="AC988">
        <v>695.45</v>
      </c>
      <c r="AD988">
        <v>183</v>
      </c>
      <c r="AE988" s="1">
        <v>127267.35</v>
      </c>
      <c r="AF988">
        <v>0</v>
      </c>
      <c r="AJ988">
        <v>0</v>
      </c>
      <c r="AK988">
        <v>0</v>
      </c>
      <c r="AL988">
        <v>0</v>
      </c>
      <c r="AM988">
        <v>0</v>
      </c>
      <c r="AN988">
        <v>0</v>
      </c>
      <c r="AO988">
        <v>0</v>
      </c>
      <c r="AP988" s="2">
        <v>42831</v>
      </c>
      <c r="AQ988" t="s">
        <v>72</v>
      </c>
      <c r="AR988" t="s">
        <v>72</v>
      </c>
      <c r="AS988">
        <v>412</v>
      </c>
      <c r="AT988" s="4">
        <v>42779</v>
      </c>
      <c r="AU988" t="s">
        <v>73</v>
      </c>
      <c r="AV988">
        <v>412</v>
      </c>
      <c r="AW988" s="4">
        <v>42779</v>
      </c>
      <c r="BD988">
        <v>0</v>
      </c>
      <c r="BN988" t="s">
        <v>74</v>
      </c>
    </row>
    <row r="989" spans="1:66">
      <c r="A989">
        <v>101317</v>
      </c>
      <c r="B989" t="s">
        <v>264</v>
      </c>
      <c r="C989" s="1">
        <v>43300101</v>
      </c>
      <c r="D989" t="s">
        <v>67</v>
      </c>
      <c r="H989" t="str">
        <f t="shared" si="130"/>
        <v>DNGGTN52A01A783M</v>
      </c>
      <c r="I989" t="str">
        <f t="shared" si="131"/>
        <v>00592310627</v>
      </c>
      <c r="K989" t="str">
        <f>""</f>
        <v/>
      </c>
      <c r="M989" t="s">
        <v>68</v>
      </c>
      <c r="N989" t="str">
        <f t="shared" si="132"/>
        <v>FOR</v>
      </c>
      <c r="O989" t="s">
        <v>69</v>
      </c>
      <c r="P989" t="s">
        <v>75</v>
      </c>
      <c r="Q989">
        <v>2016</v>
      </c>
      <c r="R989" s="4">
        <v>42536</v>
      </c>
      <c r="S989" s="2">
        <v>42537</v>
      </c>
      <c r="T989" s="2">
        <v>42536</v>
      </c>
      <c r="U989" s="4">
        <v>42596</v>
      </c>
      <c r="V989" t="s">
        <v>71</v>
      </c>
      <c r="W989" t="str">
        <f>"       000093-2016-E"</f>
        <v xml:space="preserve">       000093-2016-E</v>
      </c>
      <c r="X989" s="1">
        <v>2646.72</v>
      </c>
      <c r="Y989">
        <v>0</v>
      </c>
      <c r="Z989" s="5">
        <v>2169.44</v>
      </c>
      <c r="AA989" s="3">
        <v>183</v>
      </c>
      <c r="AB989" s="5">
        <v>397007.52</v>
      </c>
      <c r="AC989" s="1">
        <v>2169.44</v>
      </c>
      <c r="AD989">
        <v>183</v>
      </c>
      <c r="AE989" s="1">
        <v>397007.52</v>
      </c>
      <c r="AF989">
        <v>0</v>
      </c>
      <c r="AJ989">
        <v>0</v>
      </c>
      <c r="AK989">
        <v>0</v>
      </c>
      <c r="AL989">
        <v>0</v>
      </c>
      <c r="AM989">
        <v>0</v>
      </c>
      <c r="AN989">
        <v>0</v>
      </c>
      <c r="AO989">
        <v>0</v>
      </c>
      <c r="AP989" s="2">
        <v>42831</v>
      </c>
      <c r="AQ989" t="s">
        <v>72</v>
      </c>
      <c r="AR989" t="s">
        <v>72</v>
      </c>
      <c r="AS989">
        <v>412</v>
      </c>
      <c r="AT989" s="4">
        <v>42779</v>
      </c>
      <c r="AU989" t="s">
        <v>73</v>
      </c>
      <c r="AV989">
        <v>412</v>
      </c>
      <c r="AW989" s="4">
        <v>42779</v>
      </c>
      <c r="BD989">
        <v>0</v>
      </c>
      <c r="BN989" t="s">
        <v>74</v>
      </c>
    </row>
    <row r="990" spans="1:66">
      <c r="A990">
        <v>101317</v>
      </c>
      <c r="B990" t="s">
        <v>264</v>
      </c>
      <c r="C990" s="1">
        <v>43300101</v>
      </c>
      <c r="D990" t="s">
        <v>67</v>
      </c>
      <c r="H990" t="str">
        <f t="shared" si="130"/>
        <v>DNGGTN52A01A783M</v>
      </c>
      <c r="I990" t="str">
        <f t="shared" si="131"/>
        <v>00592310627</v>
      </c>
      <c r="K990" t="str">
        <f>""</f>
        <v/>
      </c>
      <c r="M990" t="s">
        <v>68</v>
      </c>
      <c r="N990" t="str">
        <f t="shared" si="132"/>
        <v>FOR</v>
      </c>
      <c r="O990" t="s">
        <v>69</v>
      </c>
      <c r="P990" t="s">
        <v>75</v>
      </c>
      <c r="Q990">
        <v>2016</v>
      </c>
      <c r="R990" s="4">
        <v>42557</v>
      </c>
      <c r="S990" s="2">
        <v>42558</v>
      </c>
      <c r="T990" s="2">
        <v>42557</v>
      </c>
      <c r="U990" s="4">
        <v>42617</v>
      </c>
      <c r="V990" t="s">
        <v>71</v>
      </c>
      <c r="W990" t="str">
        <f>"       000096-2016-E"</f>
        <v xml:space="preserve">       000096-2016-E</v>
      </c>
      <c r="X990">
        <v>35.380000000000003</v>
      </c>
      <c r="Y990">
        <v>0</v>
      </c>
      <c r="Z990" s="5">
        <v>29</v>
      </c>
      <c r="AA990" s="3">
        <v>155</v>
      </c>
      <c r="AB990" s="5">
        <v>4495</v>
      </c>
      <c r="AC990">
        <v>29</v>
      </c>
      <c r="AD990">
        <v>155</v>
      </c>
      <c r="AE990" s="1">
        <v>4495</v>
      </c>
      <c r="AF990">
        <v>6.38</v>
      </c>
      <c r="AJ990">
        <v>0</v>
      </c>
      <c r="AK990">
        <v>0</v>
      </c>
      <c r="AL990">
        <v>0</v>
      </c>
      <c r="AM990">
        <v>0</v>
      </c>
      <c r="AN990">
        <v>0</v>
      </c>
      <c r="AO990">
        <v>0</v>
      </c>
      <c r="AP990" s="2">
        <v>42831</v>
      </c>
      <c r="AQ990" t="s">
        <v>72</v>
      </c>
      <c r="AR990" t="s">
        <v>72</v>
      </c>
      <c r="AS990">
        <v>292</v>
      </c>
      <c r="AT990" s="4">
        <v>42772</v>
      </c>
      <c r="AU990" t="s">
        <v>73</v>
      </c>
      <c r="AV990">
        <v>292</v>
      </c>
      <c r="AW990" s="4">
        <v>42772</v>
      </c>
      <c r="BD990">
        <v>6.38</v>
      </c>
      <c r="BN990" t="s">
        <v>74</v>
      </c>
    </row>
    <row r="991" spans="1:66">
      <c r="A991">
        <v>101317</v>
      </c>
      <c r="B991" t="s">
        <v>264</v>
      </c>
      <c r="C991" s="1">
        <v>43300101</v>
      </c>
      <c r="D991" t="s">
        <v>67</v>
      </c>
      <c r="H991" t="str">
        <f t="shared" si="130"/>
        <v>DNGGTN52A01A783M</v>
      </c>
      <c r="I991" t="str">
        <f t="shared" si="131"/>
        <v>00592310627</v>
      </c>
      <c r="K991" t="str">
        <f>""</f>
        <v/>
      </c>
      <c r="M991" t="s">
        <v>68</v>
      </c>
      <c r="N991" t="str">
        <f t="shared" si="132"/>
        <v>FOR</v>
      </c>
      <c r="O991" t="s">
        <v>69</v>
      </c>
      <c r="P991" t="s">
        <v>75</v>
      </c>
      <c r="Q991">
        <v>2016</v>
      </c>
      <c r="R991" s="4">
        <v>42557</v>
      </c>
      <c r="S991" s="2">
        <v>42558</v>
      </c>
      <c r="T991" s="2">
        <v>42557</v>
      </c>
      <c r="U991" s="4">
        <v>42617</v>
      </c>
      <c r="V991" t="s">
        <v>71</v>
      </c>
      <c r="W991" t="str">
        <f>"       000097-2016-E"</f>
        <v xml:space="preserve">       000097-2016-E</v>
      </c>
      <c r="X991">
        <v>190.32</v>
      </c>
      <c r="Y991">
        <v>0</v>
      </c>
      <c r="Z991" s="5">
        <v>156</v>
      </c>
      <c r="AA991" s="3">
        <v>155</v>
      </c>
      <c r="AB991" s="5">
        <v>24180</v>
      </c>
      <c r="AC991">
        <v>156</v>
      </c>
      <c r="AD991">
        <v>155</v>
      </c>
      <c r="AE991" s="1">
        <v>24180</v>
      </c>
      <c r="AF991">
        <v>34.32</v>
      </c>
      <c r="AJ991">
        <v>0</v>
      </c>
      <c r="AK991">
        <v>0</v>
      </c>
      <c r="AL991">
        <v>0</v>
      </c>
      <c r="AM991">
        <v>0</v>
      </c>
      <c r="AN991">
        <v>0</v>
      </c>
      <c r="AO991">
        <v>0</v>
      </c>
      <c r="AP991" s="2">
        <v>42831</v>
      </c>
      <c r="AQ991" t="s">
        <v>72</v>
      </c>
      <c r="AR991" t="s">
        <v>72</v>
      </c>
      <c r="AS991">
        <v>292</v>
      </c>
      <c r="AT991" s="4">
        <v>42772</v>
      </c>
      <c r="AU991" t="s">
        <v>73</v>
      </c>
      <c r="AV991">
        <v>292</v>
      </c>
      <c r="AW991" s="4">
        <v>42772</v>
      </c>
      <c r="BD991">
        <v>34.32</v>
      </c>
      <c r="BN991" t="s">
        <v>74</v>
      </c>
    </row>
    <row r="992" spans="1:66">
      <c r="A992">
        <v>101317</v>
      </c>
      <c r="B992" t="s">
        <v>264</v>
      </c>
      <c r="C992" s="1">
        <v>43300101</v>
      </c>
      <c r="D992" t="s">
        <v>67</v>
      </c>
      <c r="H992" t="str">
        <f t="shared" si="130"/>
        <v>DNGGTN52A01A783M</v>
      </c>
      <c r="I992" t="str">
        <f t="shared" si="131"/>
        <v>00592310627</v>
      </c>
      <c r="K992" t="str">
        <f>""</f>
        <v/>
      </c>
      <c r="M992" t="s">
        <v>68</v>
      </c>
      <c r="N992" t="str">
        <f t="shared" si="132"/>
        <v>FOR</v>
      </c>
      <c r="O992" t="s">
        <v>69</v>
      </c>
      <c r="P992" t="s">
        <v>75</v>
      </c>
      <c r="Q992">
        <v>2016</v>
      </c>
      <c r="R992" s="4">
        <v>42557</v>
      </c>
      <c r="S992" s="2">
        <v>42558</v>
      </c>
      <c r="T992" s="2">
        <v>42557</v>
      </c>
      <c r="U992" s="4">
        <v>42617</v>
      </c>
      <c r="V992" t="s">
        <v>71</v>
      </c>
      <c r="W992" t="str">
        <f>"       000099-2016-E"</f>
        <v xml:space="preserve">       000099-2016-E</v>
      </c>
      <c r="X992">
        <v>48.56</v>
      </c>
      <c r="Y992">
        <v>0</v>
      </c>
      <c r="Z992" s="5">
        <v>39.799999999999997</v>
      </c>
      <c r="AA992" s="3">
        <v>155</v>
      </c>
      <c r="AB992" s="5">
        <v>6169</v>
      </c>
      <c r="AC992">
        <v>39.799999999999997</v>
      </c>
      <c r="AD992">
        <v>155</v>
      </c>
      <c r="AE992" s="1">
        <v>6169</v>
      </c>
      <c r="AF992">
        <v>8.76</v>
      </c>
      <c r="AJ992">
        <v>0</v>
      </c>
      <c r="AK992">
        <v>0</v>
      </c>
      <c r="AL992">
        <v>0</v>
      </c>
      <c r="AM992">
        <v>0</v>
      </c>
      <c r="AN992">
        <v>0</v>
      </c>
      <c r="AO992">
        <v>0</v>
      </c>
      <c r="AP992" s="2">
        <v>42831</v>
      </c>
      <c r="AQ992" t="s">
        <v>72</v>
      </c>
      <c r="AR992" t="s">
        <v>72</v>
      </c>
      <c r="AS992">
        <v>292</v>
      </c>
      <c r="AT992" s="4">
        <v>42772</v>
      </c>
      <c r="AU992" t="s">
        <v>73</v>
      </c>
      <c r="AV992">
        <v>292</v>
      </c>
      <c r="AW992" s="4">
        <v>42772</v>
      </c>
      <c r="BD992">
        <v>8.76</v>
      </c>
      <c r="BN992" t="s">
        <v>74</v>
      </c>
    </row>
    <row r="993" spans="1:66">
      <c r="A993">
        <v>101317</v>
      </c>
      <c r="B993" t="s">
        <v>264</v>
      </c>
      <c r="C993" s="1">
        <v>43300101</v>
      </c>
      <c r="D993" t="s">
        <v>67</v>
      </c>
      <c r="H993" t="str">
        <f t="shared" si="130"/>
        <v>DNGGTN52A01A783M</v>
      </c>
      <c r="I993" t="str">
        <f t="shared" si="131"/>
        <v>00592310627</v>
      </c>
      <c r="K993" t="str">
        <f>""</f>
        <v/>
      </c>
      <c r="M993" t="s">
        <v>68</v>
      </c>
      <c r="N993" t="str">
        <f t="shared" si="132"/>
        <v>FOR</v>
      </c>
      <c r="O993" t="s">
        <v>69</v>
      </c>
      <c r="P993" t="s">
        <v>75</v>
      </c>
      <c r="Q993">
        <v>2016</v>
      </c>
      <c r="R993" s="4">
        <v>42557</v>
      </c>
      <c r="S993" s="2">
        <v>42558</v>
      </c>
      <c r="T993" s="2">
        <v>42557</v>
      </c>
      <c r="U993" s="4">
        <v>42617</v>
      </c>
      <c r="V993" t="s">
        <v>71</v>
      </c>
      <c r="W993" t="str">
        <f>"       000101-2016-E"</f>
        <v xml:space="preserve">       000101-2016-E</v>
      </c>
      <c r="X993">
        <v>70.760000000000005</v>
      </c>
      <c r="Y993">
        <v>0</v>
      </c>
      <c r="Z993" s="5">
        <v>58</v>
      </c>
      <c r="AA993" s="3">
        <v>155</v>
      </c>
      <c r="AB993" s="5">
        <v>8990</v>
      </c>
      <c r="AC993">
        <v>58</v>
      </c>
      <c r="AD993">
        <v>155</v>
      </c>
      <c r="AE993" s="1">
        <v>8990</v>
      </c>
      <c r="AF993">
        <v>12.76</v>
      </c>
      <c r="AJ993">
        <v>0</v>
      </c>
      <c r="AK993">
        <v>0</v>
      </c>
      <c r="AL993">
        <v>0</v>
      </c>
      <c r="AM993">
        <v>0</v>
      </c>
      <c r="AN993">
        <v>0</v>
      </c>
      <c r="AO993">
        <v>0</v>
      </c>
      <c r="AP993" s="2">
        <v>42831</v>
      </c>
      <c r="AQ993" t="s">
        <v>72</v>
      </c>
      <c r="AR993" t="s">
        <v>72</v>
      </c>
      <c r="AS993">
        <v>292</v>
      </c>
      <c r="AT993" s="4">
        <v>42772</v>
      </c>
      <c r="AU993" t="s">
        <v>73</v>
      </c>
      <c r="AV993">
        <v>292</v>
      </c>
      <c r="AW993" s="4">
        <v>42772</v>
      </c>
      <c r="BD993">
        <v>12.76</v>
      </c>
      <c r="BN993" t="s">
        <v>74</v>
      </c>
    </row>
    <row r="994" spans="1:66">
      <c r="A994">
        <v>101317</v>
      </c>
      <c r="B994" t="s">
        <v>264</v>
      </c>
      <c r="C994" s="1">
        <v>43300101</v>
      </c>
      <c r="D994" t="s">
        <v>67</v>
      </c>
      <c r="H994" t="str">
        <f t="shared" si="130"/>
        <v>DNGGTN52A01A783M</v>
      </c>
      <c r="I994" t="str">
        <f t="shared" si="131"/>
        <v>00592310627</v>
      </c>
      <c r="K994" t="str">
        <f>""</f>
        <v/>
      </c>
      <c r="M994" t="s">
        <v>68</v>
      </c>
      <c r="N994" t="str">
        <f t="shared" si="132"/>
        <v>FOR</v>
      </c>
      <c r="O994" t="s">
        <v>69</v>
      </c>
      <c r="P994" t="s">
        <v>75</v>
      </c>
      <c r="Q994">
        <v>2016</v>
      </c>
      <c r="R994" s="4">
        <v>42557</v>
      </c>
      <c r="S994" s="2">
        <v>42558</v>
      </c>
      <c r="T994" s="2">
        <v>42557</v>
      </c>
      <c r="U994" s="4">
        <v>42617</v>
      </c>
      <c r="V994" t="s">
        <v>71</v>
      </c>
      <c r="W994" t="str">
        <f>"       000102-2016-E"</f>
        <v xml:space="preserve">       000102-2016-E</v>
      </c>
      <c r="X994" s="1">
        <v>1210.24</v>
      </c>
      <c r="Y994">
        <v>0</v>
      </c>
      <c r="Z994" s="5">
        <v>992</v>
      </c>
      <c r="AA994" s="3">
        <v>155</v>
      </c>
      <c r="AB994" s="5">
        <v>153760</v>
      </c>
      <c r="AC994">
        <v>992</v>
      </c>
      <c r="AD994">
        <v>155</v>
      </c>
      <c r="AE994" s="1">
        <v>153760</v>
      </c>
      <c r="AF994">
        <v>218.24</v>
      </c>
      <c r="AJ994">
        <v>0</v>
      </c>
      <c r="AK994">
        <v>0</v>
      </c>
      <c r="AL994">
        <v>0</v>
      </c>
      <c r="AM994">
        <v>0</v>
      </c>
      <c r="AN994">
        <v>0</v>
      </c>
      <c r="AO994">
        <v>0</v>
      </c>
      <c r="AP994" s="2">
        <v>42831</v>
      </c>
      <c r="AQ994" t="s">
        <v>72</v>
      </c>
      <c r="AR994" t="s">
        <v>72</v>
      </c>
      <c r="AS994">
        <v>292</v>
      </c>
      <c r="AT994" s="4">
        <v>42772</v>
      </c>
      <c r="AU994" t="s">
        <v>73</v>
      </c>
      <c r="AV994">
        <v>292</v>
      </c>
      <c r="AW994" s="4">
        <v>42772</v>
      </c>
      <c r="BD994">
        <v>218.24</v>
      </c>
      <c r="BN994" t="s">
        <v>74</v>
      </c>
    </row>
    <row r="995" spans="1:66">
      <c r="A995">
        <v>101317</v>
      </c>
      <c r="B995" t="s">
        <v>264</v>
      </c>
      <c r="C995" s="1">
        <v>43300101</v>
      </c>
      <c r="D995" t="s">
        <v>67</v>
      </c>
      <c r="H995" t="str">
        <f t="shared" si="130"/>
        <v>DNGGTN52A01A783M</v>
      </c>
      <c r="I995" t="str">
        <f t="shared" si="131"/>
        <v>00592310627</v>
      </c>
      <c r="K995" t="str">
        <f>""</f>
        <v/>
      </c>
      <c r="M995" t="s">
        <v>68</v>
      </c>
      <c r="N995" t="str">
        <f t="shared" si="132"/>
        <v>FOR</v>
      </c>
      <c r="O995" t="s">
        <v>69</v>
      </c>
      <c r="P995" t="s">
        <v>75</v>
      </c>
      <c r="Q995">
        <v>2016</v>
      </c>
      <c r="R995" s="4">
        <v>42557</v>
      </c>
      <c r="S995" s="2">
        <v>42558</v>
      </c>
      <c r="T995" s="2">
        <v>42557</v>
      </c>
      <c r="U995" s="4">
        <v>42617</v>
      </c>
      <c r="V995" t="s">
        <v>71</v>
      </c>
      <c r="W995" t="str">
        <f>"       000103-2016-E"</f>
        <v xml:space="preserve">       000103-2016-E</v>
      </c>
      <c r="X995">
        <v>95.16</v>
      </c>
      <c r="Y995">
        <v>0</v>
      </c>
      <c r="Z995" s="5">
        <v>78</v>
      </c>
      <c r="AA995" s="3">
        <v>155</v>
      </c>
      <c r="AB995" s="5">
        <v>12090</v>
      </c>
      <c r="AC995">
        <v>78</v>
      </c>
      <c r="AD995">
        <v>155</v>
      </c>
      <c r="AE995" s="1">
        <v>12090</v>
      </c>
      <c r="AF995">
        <v>17.16</v>
      </c>
      <c r="AJ995">
        <v>0</v>
      </c>
      <c r="AK995">
        <v>0</v>
      </c>
      <c r="AL995">
        <v>0</v>
      </c>
      <c r="AM995">
        <v>0</v>
      </c>
      <c r="AN995">
        <v>0</v>
      </c>
      <c r="AO995">
        <v>0</v>
      </c>
      <c r="AP995" s="2">
        <v>42831</v>
      </c>
      <c r="AQ995" t="s">
        <v>72</v>
      </c>
      <c r="AR995" t="s">
        <v>72</v>
      </c>
      <c r="AS995">
        <v>292</v>
      </c>
      <c r="AT995" s="4">
        <v>42772</v>
      </c>
      <c r="AU995" t="s">
        <v>73</v>
      </c>
      <c r="AV995">
        <v>292</v>
      </c>
      <c r="AW995" s="4">
        <v>42772</v>
      </c>
      <c r="BD995">
        <v>17.16</v>
      </c>
      <c r="BN995" t="s">
        <v>74</v>
      </c>
    </row>
    <row r="996" spans="1:66">
      <c r="A996">
        <v>101317</v>
      </c>
      <c r="B996" t="s">
        <v>264</v>
      </c>
      <c r="C996" s="1">
        <v>43300101</v>
      </c>
      <c r="D996" t="s">
        <v>67</v>
      </c>
      <c r="H996" t="str">
        <f t="shared" si="130"/>
        <v>DNGGTN52A01A783M</v>
      </c>
      <c r="I996" t="str">
        <f t="shared" si="131"/>
        <v>00592310627</v>
      </c>
      <c r="K996" t="str">
        <f>""</f>
        <v/>
      </c>
      <c r="M996" t="s">
        <v>68</v>
      </c>
      <c r="N996" t="str">
        <f t="shared" si="132"/>
        <v>FOR</v>
      </c>
      <c r="O996" t="s">
        <v>69</v>
      </c>
      <c r="P996" t="s">
        <v>75</v>
      </c>
      <c r="Q996">
        <v>2016</v>
      </c>
      <c r="R996" s="4">
        <v>42557</v>
      </c>
      <c r="S996" s="2">
        <v>42558</v>
      </c>
      <c r="T996" s="2">
        <v>42557</v>
      </c>
      <c r="U996" s="4">
        <v>42617</v>
      </c>
      <c r="V996" t="s">
        <v>71</v>
      </c>
      <c r="W996" t="str">
        <f>"       000104-2016-E"</f>
        <v xml:space="preserve">       000104-2016-E</v>
      </c>
      <c r="X996">
        <v>85.4</v>
      </c>
      <c r="Y996">
        <v>0</v>
      </c>
      <c r="Z996" s="5">
        <v>70</v>
      </c>
      <c r="AA996" s="3">
        <v>155</v>
      </c>
      <c r="AB996" s="5">
        <v>10850</v>
      </c>
      <c r="AC996">
        <v>70</v>
      </c>
      <c r="AD996">
        <v>155</v>
      </c>
      <c r="AE996" s="1">
        <v>10850</v>
      </c>
      <c r="AF996">
        <v>15.4</v>
      </c>
      <c r="AJ996">
        <v>0</v>
      </c>
      <c r="AK996">
        <v>0</v>
      </c>
      <c r="AL996">
        <v>0</v>
      </c>
      <c r="AM996">
        <v>0</v>
      </c>
      <c r="AN996">
        <v>0</v>
      </c>
      <c r="AO996">
        <v>0</v>
      </c>
      <c r="AP996" s="2">
        <v>42831</v>
      </c>
      <c r="AQ996" t="s">
        <v>72</v>
      </c>
      <c r="AR996" t="s">
        <v>72</v>
      </c>
      <c r="AS996">
        <v>292</v>
      </c>
      <c r="AT996" s="4">
        <v>42772</v>
      </c>
      <c r="AU996" t="s">
        <v>73</v>
      </c>
      <c r="AV996">
        <v>292</v>
      </c>
      <c r="AW996" s="4">
        <v>42772</v>
      </c>
      <c r="BD996">
        <v>15.4</v>
      </c>
      <c r="BN996" t="s">
        <v>74</v>
      </c>
    </row>
    <row r="997" spans="1:66">
      <c r="A997">
        <v>101317</v>
      </c>
      <c r="B997" t="s">
        <v>264</v>
      </c>
      <c r="C997" s="1">
        <v>43300101</v>
      </c>
      <c r="D997" t="s">
        <v>67</v>
      </c>
      <c r="H997" t="str">
        <f t="shared" si="130"/>
        <v>DNGGTN52A01A783M</v>
      </c>
      <c r="I997" t="str">
        <f t="shared" si="131"/>
        <v>00592310627</v>
      </c>
      <c r="K997" t="str">
        <f>""</f>
        <v/>
      </c>
      <c r="M997" t="s">
        <v>68</v>
      </c>
      <c r="N997" t="str">
        <f t="shared" si="132"/>
        <v>FOR</v>
      </c>
      <c r="O997" t="s">
        <v>69</v>
      </c>
      <c r="P997" t="s">
        <v>75</v>
      </c>
      <c r="Q997">
        <v>2016</v>
      </c>
      <c r="R997" s="4">
        <v>42557</v>
      </c>
      <c r="S997" s="2">
        <v>42558</v>
      </c>
      <c r="T997" s="2">
        <v>42557</v>
      </c>
      <c r="U997" s="4">
        <v>42617</v>
      </c>
      <c r="V997" t="s">
        <v>71</v>
      </c>
      <c r="W997" t="str">
        <f>"       000105-2016-E"</f>
        <v xml:space="preserve">       000105-2016-E</v>
      </c>
      <c r="X997">
        <v>137.25</v>
      </c>
      <c r="Y997">
        <v>0</v>
      </c>
      <c r="Z997" s="5">
        <v>112.5</v>
      </c>
      <c r="AA997" s="3">
        <v>155</v>
      </c>
      <c r="AB997" s="5">
        <v>17437.5</v>
      </c>
      <c r="AC997">
        <v>112.5</v>
      </c>
      <c r="AD997">
        <v>155</v>
      </c>
      <c r="AE997" s="1">
        <v>17437.5</v>
      </c>
      <c r="AF997">
        <v>24.75</v>
      </c>
      <c r="AJ997">
        <v>0</v>
      </c>
      <c r="AK997">
        <v>0</v>
      </c>
      <c r="AL997">
        <v>0</v>
      </c>
      <c r="AM997">
        <v>0</v>
      </c>
      <c r="AN997">
        <v>0</v>
      </c>
      <c r="AO997">
        <v>0</v>
      </c>
      <c r="AP997" s="2">
        <v>42831</v>
      </c>
      <c r="AQ997" t="s">
        <v>72</v>
      </c>
      <c r="AR997" t="s">
        <v>72</v>
      </c>
      <c r="AS997">
        <v>292</v>
      </c>
      <c r="AT997" s="4">
        <v>42772</v>
      </c>
      <c r="AU997" t="s">
        <v>73</v>
      </c>
      <c r="AV997">
        <v>292</v>
      </c>
      <c r="AW997" s="4">
        <v>42772</v>
      </c>
      <c r="BD997">
        <v>24.75</v>
      </c>
      <c r="BN997" t="s">
        <v>74</v>
      </c>
    </row>
    <row r="998" spans="1:66">
      <c r="A998">
        <v>101317</v>
      </c>
      <c r="B998" t="s">
        <v>264</v>
      </c>
      <c r="C998" s="1">
        <v>43300101</v>
      </c>
      <c r="D998" t="s">
        <v>67</v>
      </c>
      <c r="H998" t="str">
        <f t="shared" si="130"/>
        <v>DNGGTN52A01A783M</v>
      </c>
      <c r="I998" t="str">
        <f t="shared" si="131"/>
        <v>00592310627</v>
      </c>
      <c r="K998" t="str">
        <f>""</f>
        <v/>
      </c>
      <c r="M998" t="s">
        <v>68</v>
      </c>
      <c r="N998" t="str">
        <f t="shared" si="132"/>
        <v>FOR</v>
      </c>
      <c r="O998" t="s">
        <v>69</v>
      </c>
      <c r="P998" t="s">
        <v>75</v>
      </c>
      <c r="Q998">
        <v>2016</v>
      </c>
      <c r="R998" s="4">
        <v>42557</v>
      </c>
      <c r="S998" s="2">
        <v>42558</v>
      </c>
      <c r="T998" s="2">
        <v>42557</v>
      </c>
      <c r="U998" s="4">
        <v>42617</v>
      </c>
      <c r="V998" t="s">
        <v>71</v>
      </c>
      <c r="W998" t="str">
        <f>"       000106-2016-E"</f>
        <v xml:space="preserve">       000106-2016-E</v>
      </c>
      <c r="X998">
        <v>76.25</v>
      </c>
      <c r="Y998">
        <v>0</v>
      </c>
      <c r="Z998" s="5">
        <v>62.5</v>
      </c>
      <c r="AA998" s="3">
        <v>155</v>
      </c>
      <c r="AB998" s="5">
        <v>9687.5</v>
      </c>
      <c r="AC998">
        <v>62.5</v>
      </c>
      <c r="AD998">
        <v>155</v>
      </c>
      <c r="AE998" s="1">
        <v>9687.5</v>
      </c>
      <c r="AF998">
        <v>13.75</v>
      </c>
      <c r="AJ998">
        <v>0</v>
      </c>
      <c r="AK998">
        <v>0</v>
      </c>
      <c r="AL998">
        <v>0</v>
      </c>
      <c r="AM998">
        <v>0</v>
      </c>
      <c r="AN998">
        <v>0</v>
      </c>
      <c r="AO998">
        <v>0</v>
      </c>
      <c r="AP998" s="2">
        <v>42831</v>
      </c>
      <c r="AQ998" t="s">
        <v>72</v>
      </c>
      <c r="AR998" t="s">
        <v>72</v>
      </c>
      <c r="AS998">
        <v>292</v>
      </c>
      <c r="AT998" s="4">
        <v>42772</v>
      </c>
      <c r="AU998" t="s">
        <v>73</v>
      </c>
      <c r="AV998">
        <v>292</v>
      </c>
      <c r="AW998" s="4">
        <v>42772</v>
      </c>
      <c r="BD998">
        <v>13.75</v>
      </c>
      <c r="BN998" t="s">
        <v>74</v>
      </c>
    </row>
    <row r="999" spans="1:66">
      <c r="A999">
        <v>101317</v>
      </c>
      <c r="B999" t="s">
        <v>264</v>
      </c>
      <c r="C999" s="1">
        <v>43300101</v>
      </c>
      <c r="D999" t="s">
        <v>67</v>
      </c>
      <c r="H999" t="str">
        <f t="shared" si="130"/>
        <v>DNGGTN52A01A783M</v>
      </c>
      <c r="I999" t="str">
        <f t="shared" si="131"/>
        <v>00592310627</v>
      </c>
      <c r="K999" t="str">
        <f>""</f>
        <v/>
      </c>
      <c r="M999" t="s">
        <v>68</v>
      </c>
      <c r="N999" t="str">
        <f t="shared" si="132"/>
        <v>FOR</v>
      </c>
      <c r="O999" t="s">
        <v>69</v>
      </c>
      <c r="P999" t="s">
        <v>75</v>
      </c>
      <c r="Q999">
        <v>2016</v>
      </c>
      <c r="R999" s="4">
        <v>42563</v>
      </c>
      <c r="S999" s="2">
        <v>42563</v>
      </c>
      <c r="T999" s="2">
        <v>42563</v>
      </c>
      <c r="U999" s="4">
        <v>42623</v>
      </c>
      <c r="V999" t="s">
        <v>71</v>
      </c>
      <c r="W999" t="str">
        <f>"       000109-2016-E"</f>
        <v xml:space="preserve">       000109-2016-E</v>
      </c>
      <c r="X999">
        <v>364.78</v>
      </c>
      <c r="Y999">
        <v>0</v>
      </c>
      <c r="Z999" s="5">
        <v>299</v>
      </c>
      <c r="AA999" s="3">
        <v>149</v>
      </c>
      <c r="AB999" s="5">
        <v>44551</v>
      </c>
      <c r="AC999">
        <v>299</v>
      </c>
      <c r="AD999">
        <v>149</v>
      </c>
      <c r="AE999" s="1">
        <v>44551</v>
      </c>
      <c r="AF999">
        <v>65.78</v>
      </c>
      <c r="AJ999">
        <v>0</v>
      </c>
      <c r="AK999">
        <v>0</v>
      </c>
      <c r="AL999">
        <v>0</v>
      </c>
      <c r="AM999">
        <v>0</v>
      </c>
      <c r="AN999">
        <v>0</v>
      </c>
      <c r="AO999">
        <v>0</v>
      </c>
      <c r="AP999" s="2">
        <v>42831</v>
      </c>
      <c r="AQ999" t="s">
        <v>72</v>
      </c>
      <c r="AR999" t="s">
        <v>72</v>
      </c>
      <c r="AS999">
        <v>292</v>
      </c>
      <c r="AT999" s="4">
        <v>42772</v>
      </c>
      <c r="AU999" t="s">
        <v>73</v>
      </c>
      <c r="AV999">
        <v>292</v>
      </c>
      <c r="AW999" s="4">
        <v>42772</v>
      </c>
      <c r="BD999">
        <v>65.78</v>
      </c>
      <c r="BN999" t="s">
        <v>74</v>
      </c>
    </row>
    <row r="1000" spans="1:66">
      <c r="A1000">
        <v>101317</v>
      </c>
      <c r="B1000" t="s">
        <v>264</v>
      </c>
      <c r="C1000" s="1">
        <v>43300101</v>
      </c>
      <c r="D1000" t="s">
        <v>67</v>
      </c>
      <c r="H1000" t="str">
        <f t="shared" si="130"/>
        <v>DNGGTN52A01A783M</v>
      </c>
      <c r="I1000" t="str">
        <f t="shared" si="131"/>
        <v>00592310627</v>
      </c>
      <c r="K1000" t="str">
        <f>""</f>
        <v/>
      </c>
      <c r="M1000" t="s">
        <v>68</v>
      </c>
      <c r="N1000" t="str">
        <f t="shared" si="132"/>
        <v>FOR</v>
      </c>
      <c r="O1000" t="s">
        <v>69</v>
      </c>
      <c r="P1000" t="s">
        <v>75</v>
      </c>
      <c r="Q1000">
        <v>2016</v>
      </c>
      <c r="R1000" s="4">
        <v>42570</v>
      </c>
      <c r="S1000" s="2">
        <v>42577</v>
      </c>
      <c r="T1000" s="2">
        <v>42570</v>
      </c>
      <c r="U1000" s="4">
        <v>42630</v>
      </c>
      <c r="V1000" t="s">
        <v>71</v>
      </c>
      <c r="W1000" t="str">
        <f>"       000110-2016-E"</f>
        <v xml:space="preserve">       000110-2016-E</v>
      </c>
      <c r="X1000">
        <v>21.35</v>
      </c>
      <c r="Y1000">
        <v>0</v>
      </c>
      <c r="Z1000" s="5">
        <v>17.5</v>
      </c>
      <c r="AA1000" s="3">
        <v>142</v>
      </c>
      <c r="AB1000" s="5">
        <v>2485</v>
      </c>
      <c r="AC1000">
        <v>17.5</v>
      </c>
      <c r="AD1000">
        <v>142</v>
      </c>
      <c r="AE1000" s="1">
        <v>2485</v>
      </c>
      <c r="AF1000">
        <v>3.85</v>
      </c>
      <c r="AJ1000">
        <v>0</v>
      </c>
      <c r="AK1000">
        <v>0</v>
      </c>
      <c r="AL1000">
        <v>0</v>
      </c>
      <c r="AM1000">
        <v>0</v>
      </c>
      <c r="AN1000">
        <v>0</v>
      </c>
      <c r="AO1000">
        <v>0</v>
      </c>
      <c r="AP1000" s="2">
        <v>42831</v>
      </c>
      <c r="AQ1000" t="s">
        <v>72</v>
      </c>
      <c r="AR1000" t="s">
        <v>72</v>
      </c>
      <c r="AS1000">
        <v>292</v>
      </c>
      <c r="AT1000" s="4">
        <v>42772</v>
      </c>
      <c r="AU1000" t="s">
        <v>73</v>
      </c>
      <c r="AV1000">
        <v>292</v>
      </c>
      <c r="AW1000" s="4">
        <v>42772</v>
      </c>
      <c r="BD1000">
        <v>3.85</v>
      </c>
      <c r="BN1000" t="s">
        <v>74</v>
      </c>
    </row>
    <row r="1001" spans="1:66">
      <c r="A1001">
        <v>101317</v>
      </c>
      <c r="B1001" t="s">
        <v>264</v>
      </c>
      <c r="C1001" s="1">
        <v>43300101</v>
      </c>
      <c r="D1001" t="s">
        <v>67</v>
      </c>
      <c r="H1001" t="str">
        <f t="shared" si="130"/>
        <v>DNGGTN52A01A783M</v>
      </c>
      <c r="I1001" t="str">
        <f t="shared" si="131"/>
        <v>00592310627</v>
      </c>
      <c r="K1001" t="str">
        <f>""</f>
        <v/>
      </c>
      <c r="M1001" t="s">
        <v>68</v>
      </c>
      <c r="N1001" t="str">
        <f t="shared" si="132"/>
        <v>FOR</v>
      </c>
      <c r="O1001" t="s">
        <v>69</v>
      </c>
      <c r="P1001" t="s">
        <v>75</v>
      </c>
      <c r="Q1001">
        <v>2016</v>
      </c>
      <c r="R1001" s="4">
        <v>42570</v>
      </c>
      <c r="S1001" s="2">
        <v>42577</v>
      </c>
      <c r="T1001" s="2">
        <v>42570</v>
      </c>
      <c r="U1001" s="4">
        <v>42630</v>
      </c>
      <c r="V1001" t="s">
        <v>71</v>
      </c>
      <c r="W1001" t="str">
        <f>"       000111-2016-E"</f>
        <v xml:space="preserve">       000111-2016-E</v>
      </c>
      <c r="X1001">
        <v>405.65</v>
      </c>
      <c r="Y1001">
        <v>0</v>
      </c>
      <c r="Z1001" s="5">
        <v>332.5</v>
      </c>
      <c r="AA1001" s="3">
        <v>142</v>
      </c>
      <c r="AB1001" s="5">
        <v>47215</v>
      </c>
      <c r="AC1001">
        <v>332.5</v>
      </c>
      <c r="AD1001">
        <v>142</v>
      </c>
      <c r="AE1001" s="1">
        <v>47215</v>
      </c>
      <c r="AF1001">
        <v>73.150000000000006</v>
      </c>
      <c r="AJ1001">
        <v>0</v>
      </c>
      <c r="AK1001">
        <v>0</v>
      </c>
      <c r="AL1001">
        <v>0</v>
      </c>
      <c r="AM1001">
        <v>0</v>
      </c>
      <c r="AN1001">
        <v>0</v>
      </c>
      <c r="AO1001">
        <v>0</v>
      </c>
      <c r="AP1001" s="2">
        <v>42831</v>
      </c>
      <c r="AQ1001" t="s">
        <v>72</v>
      </c>
      <c r="AR1001" t="s">
        <v>72</v>
      </c>
      <c r="AS1001">
        <v>292</v>
      </c>
      <c r="AT1001" s="4">
        <v>42772</v>
      </c>
      <c r="AU1001" t="s">
        <v>73</v>
      </c>
      <c r="AV1001">
        <v>292</v>
      </c>
      <c r="AW1001" s="4">
        <v>42772</v>
      </c>
      <c r="BD1001">
        <v>73.150000000000006</v>
      </c>
      <c r="BN1001" t="s">
        <v>74</v>
      </c>
    </row>
    <row r="1002" spans="1:66">
      <c r="A1002">
        <v>101317</v>
      </c>
      <c r="B1002" t="s">
        <v>264</v>
      </c>
      <c r="C1002" s="1">
        <v>43300101</v>
      </c>
      <c r="D1002" t="s">
        <v>67</v>
      </c>
      <c r="H1002" t="str">
        <f t="shared" si="130"/>
        <v>DNGGTN52A01A783M</v>
      </c>
      <c r="I1002" t="str">
        <f t="shared" si="131"/>
        <v>00592310627</v>
      </c>
      <c r="K1002" t="str">
        <f>""</f>
        <v/>
      </c>
      <c r="M1002" t="s">
        <v>68</v>
      </c>
      <c r="N1002" t="str">
        <f t="shared" si="132"/>
        <v>FOR</v>
      </c>
      <c r="O1002" t="s">
        <v>69</v>
      </c>
      <c r="P1002" t="s">
        <v>75</v>
      </c>
      <c r="Q1002">
        <v>2016</v>
      </c>
      <c r="R1002" s="4">
        <v>42570</v>
      </c>
      <c r="S1002" s="2">
        <v>42577</v>
      </c>
      <c r="T1002" s="2">
        <v>42570</v>
      </c>
      <c r="U1002" s="4">
        <v>42630</v>
      </c>
      <c r="V1002" t="s">
        <v>71</v>
      </c>
      <c r="W1002" t="str">
        <f>"       000112-2016-E"</f>
        <v xml:space="preserve">       000112-2016-E</v>
      </c>
      <c r="X1002">
        <v>251.32</v>
      </c>
      <c r="Y1002">
        <v>0</v>
      </c>
      <c r="Z1002" s="5">
        <v>206</v>
      </c>
      <c r="AA1002" s="3">
        <v>142</v>
      </c>
      <c r="AB1002" s="5">
        <v>29252</v>
      </c>
      <c r="AC1002">
        <v>206</v>
      </c>
      <c r="AD1002">
        <v>142</v>
      </c>
      <c r="AE1002" s="1">
        <v>29252</v>
      </c>
      <c r="AF1002">
        <v>45.32</v>
      </c>
      <c r="AJ1002">
        <v>0</v>
      </c>
      <c r="AK1002">
        <v>0</v>
      </c>
      <c r="AL1002">
        <v>0</v>
      </c>
      <c r="AM1002">
        <v>0</v>
      </c>
      <c r="AN1002">
        <v>0</v>
      </c>
      <c r="AO1002">
        <v>0</v>
      </c>
      <c r="AP1002" s="2">
        <v>42831</v>
      </c>
      <c r="AQ1002" t="s">
        <v>72</v>
      </c>
      <c r="AR1002" t="s">
        <v>72</v>
      </c>
      <c r="AS1002">
        <v>292</v>
      </c>
      <c r="AT1002" s="4">
        <v>42772</v>
      </c>
      <c r="AU1002" t="s">
        <v>73</v>
      </c>
      <c r="AV1002">
        <v>292</v>
      </c>
      <c r="AW1002" s="4">
        <v>42772</v>
      </c>
      <c r="BD1002">
        <v>45.32</v>
      </c>
      <c r="BN1002" t="s">
        <v>74</v>
      </c>
    </row>
    <row r="1003" spans="1:66">
      <c r="A1003">
        <v>101317</v>
      </c>
      <c r="B1003" t="s">
        <v>264</v>
      </c>
      <c r="C1003" s="1">
        <v>43300101</v>
      </c>
      <c r="D1003" t="s">
        <v>67</v>
      </c>
      <c r="H1003" t="str">
        <f t="shared" si="130"/>
        <v>DNGGTN52A01A783M</v>
      </c>
      <c r="I1003" t="str">
        <f t="shared" si="131"/>
        <v>00592310627</v>
      </c>
      <c r="K1003" t="str">
        <f>""</f>
        <v/>
      </c>
      <c r="M1003" t="s">
        <v>68</v>
      </c>
      <c r="N1003" t="str">
        <f t="shared" si="132"/>
        <v>FOR</v>
      </c>
      <c r="O1003" t="s">
        <v>69</v>
      </c>
      <c r="P1003" t="s">
        <v>75</v>
      </c>
      <c r="Q1003">
        <v>2016</v>
      </c>
      <c r="R1003" s="4">
        <v>42570</v>
      </c>
      <c r="S1003" s="2">
        <v>42577</v>
      </c>
      <c r="T1003" s="2">
        <v>42570</v>
      </c>
      <c r="U1003" s="4">
        <v>42630</v>
      </c>
      <c r="V1003" t="s">
        <v>71</v>
      </c>
      <c r="W1003" t="str">
        <f>"       000113-2016-E"</f>
        <v xml:space="preserve">       000113-2016-E</v>
      </c>
      <c r="X1003">
        <v>173.85</v>
      </c>
      <c r="Y1003">
        <v>0</v>
      </c>
      <c r="Z1003" s="5">
        <v>142.5</v>
      </c>
      <c r="AA1003" s="3">
        <v>142</v>
      </c>
      <c r="AB1003" s="5">
        <v>20235</v>
      </c>
      <c r="AC1003">
        <v>142.5</v>
      </c>
      <c r="AD1003">
        <v>142</v>
      </c>
      <c r="AE1003" s="1">
        <v>20235</v>
      </c>
      <c r="AF1003">
        <v>31.35</v>
      </c>
      <c r="AJ1003">
        <v>0</v>
      </c>
      <c r="AK1003">
        <v>0</v>
      </c>
      <c r="AL1003">
        <v>0</v>
      </c>
      <c r="AM1003">
        <v>0</v>
      </c>
      <c r="AN1003">
        <v>0</v>
      </c>
      <c r="AO1003">
        <v>0</v>
      </c>
      <c r="AP1003" s="2">
        <v>42831</v>
      </c>
      <c r="AQ1003" t="s">
        <v>72</v>
      </c>
      <c r="AR1003" t="s">
        <v>72</v>
      </c>
      <c r="AS1003">
        <v>292</v>
      </c>
      <c r="AT1003" s="4">
        <v>42772</v>
      </c>
      <c r="AU1003" t="s">
        <v>73</v>
      </c>
      <c r="AV1003">
        <v>292</v>
      </c>
      <c r="AW1003" s="4">
        <v>42772</v>
      </c>
      <c r="BD1003">
        <v>31.35</v>
      </c>
      <c r="BN1003" t="s">
        <v>74</v>
      </c>
    </row>
    <row r="1004" spans="1:66">
      <c r="A1004">
        <v>101317</v>
      </c>
      <c r="B1004" t="s">
        <v>264</v>
      </c>
      <c r="C1004" s="1">
        <v>43300101</v>
      </c>
      <c r="D1004" t="s">
        <v>67</v>
      </c>
      <c r="H1004" t="str">
        <f t="shared" si="130"/>
        <v>DNGGTN52A01A783M</v>
      </c>
      <c r="I1004" t="str">
        <f t="shared" si="131"/>
        <v>00592310627</v>
      </c>
      <c r="K1004" t="str">
        <f>""</f>
        <v/>
      </c>
      <c r="M1004" t="s">
        <v>68</v>
      </c>
      <c r="N1004" t="str">
        <f t="shared" si="132"/>
        <v>FOR</v>
      </c>
      <c r="O1004" t="s">
        <v>69</v>
      </c>
      <c r="P1004" t="s">
        <v>75</v>
      </c>
      <c r="Q1004">
        <v>2016</v>
      </c>
      <c r="R1004" s="4">
        <v>42570</v>
      </c>
      <c r="S1004" s="2">
        <v>42577</v>
      </c>
      <c r="T1004" s="2">
        <v>42570</v>
      </c>
      <c r="U1004" s="4">
        <v>42630</v>
      </c>
      <c r="V1004" t="s">
        <v>71</v>
      </c>
      <c r="W1004" t="str">
        <f>"       000114-2016-E"</f>
        <v xml:space="preserve">       000114-2016-E</v>
      </c>
      <c r="X1004">
        <v>24.28</v>
      </c>
      <c r="Y1004">
        <v>0</v>
      </c>
      <c r="Z1004" s="5">
        <v>19.899999999999999</v>
      </c>
      <c r="AA1004" s="3">
        <v>142</v>
      </c>
      <c r="AB1004" s="5">
        <v>2825.8</v>
      </c>
      <c r="AC1004">
        <v>19.899999999999999</v>
      </c>
      <c r="AD1004">
        <v>142</v>
      </c>
      <c r="AE1004" s="1">
        <v>2825.8</v>
      </c>
      <c r="AF1004">
        <v>4.38</v>
      </c>
      <c r="AJ1004">
        <v>0</v>
      </c>
      <c r="AK1004">
        <v>0</v>
      </c>
      <c r="AL1004">
        <v>0</v>
      </c>
      <c r="AM1004">
        <v>0</v>
      </c>
      <c r="AN1004">
        <v>0</v>
      </c>
      <c r="AO1004">
        <v>0</v>
      </c>
      <c r="AP1004" s="2">
        <v>42831</v>
      </c>
      <c r="AQ1004" t="s">
        <v>72</v>
      </c>
      <c r="AR1004" t="s">
        <v>72</v>
      </c>
      <c r="AS1004">
        <v>292</v>
      </c>
      <c r="AT1004" s="4">
        <v>42772</v>
      </c>
      <c r="AU1004" t="s">
        <v>73</v>
      </c>
      <c r="AV1004">
        <v>292</v>
      </c>
      <c r="AW1004" s="4">
        <v>42772</v>
      </c>
      <c r="BD1004">
        <v>4.38</v>
      </c>
      <c r="BN1004" t="s">
        <v>74</v>
      </c>
    </row>
    <row r="1005" spans="1:66">
      <c r="A1005">
        <v>101317</v>
      </c>
      <c r="B1005" t="s">
        <v>264</v>
      </c>
      <c r="C1005" s="1">
        <v>43300101</v>
      </c>
      <c r="D1005" t="s">
        <v>67</v>
      </c>
      <c r="H1005" t="str">
        <f t="shared" si="130"/>
        <v>DNGGTN52A01A783M</v>
      </c>
      <c r="I1005" t="str">
        <f t="shared" si="131"/>
        <v>00592310627</v>
      </c>
      <c r="K1005" t="str">
        <f>""</f>
        <v/>
      </c>
      <c r="M1005" t="s">
        <v>68</v>
      </c>
      <c r="N1005" t="str">
        <f t="shared" si="132"/>
        <v>FOR</v>
      </c>
      <c r="O1005" t="s">
        <v>69</v>
      </c>
      <c r="P1005" t="s">
        <v>75</v>
      </c>
      <c r="Q1005">
        <v>2016</v>
      </c>
      <c r="R1005" s="4">
        <v>42570</v>
      </c>
      <c r="S1005" s="2">
        <v>42577</v>
      </c>
      <c r="T1005" s="2">
        <v>42570</v>
      </c>
      <c r="U1005" s="4">
        <v>42630</v>
      </c>
      <c r="V1005" t="s">
        <v>71</v>
      </c>
      <c r="W1005" t="str">
        <f>"       000115-2016-E"</f>
        <v xml:space="preserve">       000115-2016-E</v>
      </c>
      <c r="X1005">
        <v>100.28</v>
      </c>
      <c r="Y1005">
        <v>0</v>
      </c>
      <c r="Z1005" s="5">
        <v>82.2</v>
      </c>
      <c r="AA1005" s="3">
        <v>142</v>
      </c>
      <c r="AB1005" s="5">
        <v>11672.4</v>
      </c>
      <c r="AC1005">
        <v>82.2</v>
      </c>
      <c r="AD1005">
        <v>142</v>
      </c>
      <c r="AE1005" s="1">
        <v>11672.4</v>
      </c>
      <c r="AF1005">
        <v>18.079999999999998</v>
      </c>
      <c r="AJ1005">
        <v>0</v>
      </c>
      <c r="AK1005">
        <v>0</v>
      </c>
      <c r="AL1005">
        <v>0</v>
      </c>
      <c r="AM1005">
        <v>0</v>
      </c>
      <c r="AN1005">
        <v>0</v>
      </c>
      <c r="AO1005">
        <v>0</v>
      </c>
      <c r="AP1005" s="2">
        <v>42831</v>
      </c>
      <c r="AQ1005" t="s">
        <v>72</v>
      </c>
      <c r="AR1005" t="s">
        <v>72</v>
      </c>
      <c r="AS1005">
        <v>292</v>
      </c>
      <c r="AT1005" s="4">
        <v>42772</v>
      </c>
      <c r="AU1005" t="s">
        <v>73</v>
      </c>
      <c r="AV1005">
        <v>292</v>
      </c>
      <c r="AW1005" s="4">
        <v>42772</v>
      </c>
      <c r="BD1005">
        <v>18.079999999999998</v>
      </c>
      <c r="BN1005" t="s">
        <v>74</v>
      </c>
    </row>
    <row r="1006" spans="1:66">
      <c r="A1006">
        <v>101317</v>
      </c>
      <c r="B1006" t="s">
        <v>264</v>
      </c>
      <c r="C1006" s="1">
        <v>43300101</v>
      </c>
      <c r="D1006" t="s">
        <v>67</v>
      </c>
      <c r="H1006" t="str">
        <f t="shared" si="130"/>
        <v>DNGGTN52A01A783M</v>
      </c>
      <c r="I1006" t="str">
        <f t="shared" si="131"/>
        <v>00592310627</v>
      </c>
      <c r="K1006" t="str">
        <f>""</f>
        <v/>
      </c>
      <c r="M1006" t="s">
        <v>68</v>
      </c>
      <c r="N1006" t="str">
        <f t="shared" si="132"/>
        <v>FOR</v>
      </c>
      <c r="O1006" t="s">
        <v>69</v>
      </c>
      <c r="P1006" t="s">
        <v>75</v>
      </c>
      <c r="Q1006">
        <v>2016</v>
      </c>
      <c r="R1006" s="4">
        <v>42570</v>
      </c>
      <c r="S1006" s="2">
        <v>42577</v>
      </c>
      <c r="T1006" s="2">
        <v>42570</v>
      </c>
      <c r="U1006" s="4">
        <v>42630</v>
      </c>
      <c r="V1006" t="s">
        <v>71</v>
      </c>
      <c r="W1006" t="str">
        <f>"       000116-2016-E"</f>
        <v xml:space="preserve">       000116-2016-E</v>
      </c>
      <c r="X1006">
        <v>335.5</v>
      </c>
      <c r="Y1006">
        <v>0</v>
      </c>
      <c r="Z1006" s="5">
        <v>275</v>
      </c>
      <c r="AA1006" s="3">
        <v>142</v>
      </c>
      <c r="AB1006" s="5">
        <v>39050</v>
      </c>
      <c r="AC1006">
        <v>275</v>
      </c>
      <c r="AD1006">
        <v>142</v>
      </c>
      <c r="AE1006" s="1">
        <v>39050</v>
      </c>
      <c r="AF1006">
        <v>60.5</v>
      </c>
      <c r="AJ1006">
        <v>0</v>
      </c>
      <c r="AK1006">
        <v>0</v>
      </c>
      <c r="AL1006">
        <v>0</v>
      </c>
      <c r="AM1006">
        <v>0</v>
      </c>
      <c r="AN1006">
        <v>0</v>
      </c>
      <c r="AO1006">
        <v>0</v>
      </c>
      <c r="AP1006" s="2">
        <v>42831</v>
      </c>
      <c r="AQ1006" t="s">
        <v>72</v>
      </c>
      <c r="AR1006" t="s">
        <v>72</v>
      </c>
      <c r="AS1006">
        <v>292</v>
      </c>
      <c r="AT1006" s="4">
        <v>42772</v>
      </c>
      <c r="AU1006" t="s">
        <v>73</v>
      </c>
      <c r="AV1006">
        <v>292</v>
      </c>
      <c r="AW1006" s="4">
        <v>42772</v>
      </c>
      <c r="BD1006">
        <v>60.5</v>
      </c>
      <c r="BN1006" t="s">
        <v>74</v>
      </c>
    </row>
    <row r="1007" spans="1:66">
      <c r="A1007">
        <v>101317</v>
      </c>
      <c r="B1007" t="s">
        <v>264</v>
      </c>
      <c r="C1007" s="1">
        <v>43300101</v>
      </c>
      <c r="D1007" t="s">
        <v>67</v>
      </c>
      <c r="H1007" t="str">
        <f t="shared" si="130"/>
        <v>DNGGTN52A01A783M</v>
      </c>
      <c r="I1007" t="str">
        <f t="shared" si="131"/>
        <v>00592310627</v>
      </c>
      <c r="K1007" t="str">
        <f>""</f>
        <v/>
      </c>
      <c r="M1007" t="s">
        <v>68</v>
      </c>
      <c r="N1007" t="str">
        <f t="shared" si="132"/>
        <v>FOR</v>
      </c>
      <c r="O1007" t="s">
        <v>69</v>
      </c>
      <c r="P1007" t="s">
        <v>75</v>
      </c>
      <c r="Q1007">
        <v>2016</v>
      </c>
      <c r="R1007" s="4">
        <v>42570</v>
      </c>
      <c r="S1007" s="2">
        <v>42577</v>
      </c>
      <c r="T1007" s="2">
        <v>42570</v>
      </c>
      <c r="U1007" s="4">
        <v>42630</v>
      </c>
      <c r="V1007" t="s">
        <v>71</v>
      </c>
      <c r="W1007" t="str">
        <f>"       000117-2016-E"</f>
        <v xml:space="preserve">       000117-2016-E</v>
      </c>
      <c r="X1007">
        <v>567.29999999999995</v>
      </c>
      <c r="Y1007">
        <v>0</v>
      </c>
      <c r="Z1007" s="5">
        <v>465</v>
      </c>
      <c r="AA1007" s="3">
        <v>142</v>
      </c>
      <c r="AB1007" s="5">
        <v>66030</v>
      </c>
      <c r="AC1007">
        <v>465</v>
      </c>
      <c r="AD1007">
        <v>142</v>
      </c>
      <c r="AE1007" s="1">
        <v>66030</v>
      </c>
      <c r="AF1007">
        <v>102.3</v>
      </c>
      <c r="AJ1007">
        <v>0</v>
      </c>
      <c r="AK1007">
        <v>0</v>
      </c>
      <c r="AL1007">
        <v>0</v>
      </c>
      <c r="AM1007">
        <v>0</v>
      </c>
      <c r="AN1007">
        <v>0</v>
      </c>
      <c r="AO1007">
        <v>0</v>
      </c>
      <c r="AP1007" s="2">
        <v>42831</v>
      </c>
      <c r="AQ1007" t="s">
        <v>72</v>
      </c>
      <c r="AR1007" t="s">
        <v>72</v>
      </c>
      <c r="AS1007">
        <v>292</v>
      </c>
      <c r="AT1007" s="4">
        <v>42772</v>
      </c>
      <c r="AU1007" t="s">
        <v>73</v>
      </c>
      <c r="AV1007">
        <v>292</v>
      </c>
      <c r="AW1007" s="4">
        <v>42772</v>
      </c>
      <c r="BD1007">
        <v>102.3</v>
      </c>
      <c r="BN1007" t="s">
        <v>74</v>
      </c>
    </row>
    <row r="1008" spans="1:66">
      <c r="A1008">
        <v>101317</v>
      </c>
      <c r="B1008" t="s">
        <v>264</v>
      </c>
      <c r="C1008" s="1">
        <v>43300101</v>
      </c>
      <c r="D1008" t="s">
        <v>67</v>
      </c>
      <c r="H1008" t="str">
        <f t="shared" si="130"/>
        <v>DNGGTN52A01A783M</v>
      </c>
      <c r="I1008" t="str">
        <f t="shared" si="131"/>
        <v>00592310627</v>
      </c>
      <c r="K1008" t="str">
        <f>""</f>
        <v/>
      </c>
      <c r="M1008" t="s">
        <v>68</v>
      </c>
      <c r="N1008" t="str">
        <f t="shared" si="132"/>
        <v>FOR</v>
      </c>
      <c r="O1008" t="s">
        <v>69</v>
      </c>
      <c r="P1008" t="s">
        <v>75</v>
      </c>
      <c r="Q1008">
        <v>2016</v>
      </c>
      <c r="R1008" s="4">
        <v>42570</v>
      </c>
      <c r="S1008" s="2">
        <v>42577</v>
      </c>
      <c r="T1008" s="2">
        <v>42570</v>
      </c>
      <c r="U1008" s="4">
        <v>42630</v>
      </c>
      <c r="V1008" t="s">
        <v>71</v>
      </c>
      <c r="W1008" t="str">
        <f>"       000118-2016-E"</f>
        <v xml:space="preserve">       000118-2016-E</v>
      </c>
      <c r="X1008">
        <v>60.88</v>
      </c>
      <c r="Y1008">
        <v>0</v>
      </c>
      <c r="Z1008" s="5">
        <v>49.9</v>
      </c>
      <c r="AA1008" s="3">
        <v>142</v>
      </c>
      <c r="AB1008" s="5">
        <v>7085.8</v>
      </c>
      <c r="AC1008">
        <v>49.9</v>
      </c>
      <c r="AD1008">
        <v>142</v>
      </c>
      <c r="AE1008" s="1">
        <v>7085.8</v>
      </c>
      <c r="AF1008">
        <v>10.98</v>
      </c>
      <c r="AJ1008">
        <v>0</v>
      </c>
      <c r="AK1008">
        <v>0</v>
      </c>
      <c r="AL1008">
        <v>0</v>
      </c>
      <c r="AM1008">
        <v>0</v>
      </c>
      <c r="AN1008">
        <v>0</v>
      </c>
      <c r="AO1008">
        <v>0</v>
      </c>
      <c r="AP1008" s="2">
        <v>42831</v>
      </c>
      <c r="AQ1008" t="s">
        <v>72</v>
      </c>
      <c r="AR1008" t="s">
        <v>72</v>
      </c>
      <c r="AS1008">
        <v>292</v>
      </c>
      <c r="AT1008" s="4">
        <v>42772</v>
      </c>
      <c r="AU1008" t="s">
        <v>73</v>
      </c>
      <c r="AV1008">
        <v>292</v>
      </c>
      <c r="AW1008" s="4">
        <v>42772</v>
      </c>
      <c r="BD1008">
        <v>10.98</v>
      </c>
      <c r="BN1008" t="s">
        <v>74</v>
      </c>
    </row>
    <row r="1009" spans="1:66">
      <c r="A1009">
        <v>101317</v>
      </c>
      <c r="B1009" t="s">
        <v>264</v>
      </c>
      <c r="C1009" s="1">
        <v>43300101</v>
      </c>
      <c r="D1009" t="s">
        <v>67</v>
      </c>
      <c r="H1009" t="str">
        <f t="shared" si="130"/>
        <v>DNGGTN52A01A783M</v>
      </c>
      <c r="I1009" t="str">
        <f t="shared" si="131"/>
        <v>00592310627</v>
      </c>
      <c r="K1009" t="str">
        <f>""</f>
        <v/>
      </c>
      <c r="M1009" t="s">
        <v>68</v>
      </c>
      <c r="N1009" t="str">
        <f t="shared" si="132"/>
        <v>FOR</v>
      </c>
      <c r="O1009" t="s">
        <v>69</v>
      </c>
      <c r="P1009" t="s">
        <v>75</v>
      </c>
      <c r="Q1009">
        <v>2016</v>
      </c>
      <c r="R1009" s="4">
        <v>42570</v>
      </c>
      <c r="S1009" s="2">
        <v>42577</v>
      </c>
      <c r="T1009" s="2">
        <v>42570</v>
      </c>
      <c r="U1009" s="4">
        <v>42630</v>
      </c>
      <c r="V1009" t="s">
        <v>71</v>
      </c>
      <c r="W1009" t="str">
        <f>"       000119-2016-E"</f>
        <v xml:space="preserve">       000119-2016-E</v>
      </c>
      <c r="X1009">
        <v>109.68</v>
      </c>
      <c r="Y1009">
        <v>0</v>
      </c>
      <c r="Z1009" s="5">
        <v>89.9</v>
      </c>
      <c r="AA1009" s="3">
        <v>142</v>
      </c>
      <c r="AB1009" s="5">
        <v>12765.8</v>
      </c>
      <c r="AC1009">
        <v>89.9</v>
      </c>
      <c r="AD1009">
        <v>142</v>
      </c>
      <c r="AE1009" s="1">
        <v>12765.8</v>
      </c>
      <c r="AF1009">
        <v>19.78</v>
      </c>
      <c r="AJ1009">
        <v>0</v>
      </c>
      <c r="AK1009">
        <v>0</v>
      </c>
      <c r="AL1009">
        <v>0</v>
      </c>
      <c r="AM1009">
        <v>0</v>
      </c>
      <c r="AN1009">
        <v>0</v>
      </c>
      <c r="AO1009">
        <v>0</v>
      </c>
      <c r="AP1009" s="2">
        <v>42831</v>
      </c>
      <c r="AQ1009" t="s">
        <v>72</v>
      </c>
      <c r="AR1009" t="s">
        <v>72</v>
      </c>
      <c r="AS1009">
        <v>292</v>
      </c>
      <c r="AT1009" s="4">
        <v>42772</v>
      </c>
      <c r="AU1009" t="s">
        <v>73</v>
      </c>
      <c r="AV1009">
        <v>292</v>
      </c>
      <c r="AW1009" s="4">
        <v>42772</v>
      </c>
      <c r="BD1009">
        <v>19.78</v>
      </c>
      <c r="BN1009" t="s">
        <v>74</v>
      </c>
    </row>
    <row r="1010" spans="1:66">
      <c r="A1010">
        <v>101317</v>
      </c>
      <c r="B1010" t="s">
        <v>264</v>
      </c>
      <c r="C1010" s="1">
        <v>43300101</v>
      </c>
      <c r="D1010" t="s">
        <v>67</v>
      </c>
      <c r="H1010" t="str">
        <f t="shared" si="130"/>
        <v>DNGGTN52A01A783M</v>
      </c>
      <c r="I1010" t="str">
        <f t="shared" si="131"/>
        <v>00592310627</v>
      </c>
      <c r="K1010" t="str">
        <f>""</f>
        <v/>
      </c>
      <c r="M1010" t="s">
        <v>68</v>
      </c>
      <c r="N1010" t="str">
        <f t="shared" si="132"/>
        <v>FOR</v>
      </c>
      <c r="O1010" t="s">
        <v>69</v>
      </c>
      <c r="P1010" t="s">
        <v>75</v>
      </c>
      <c r="Q1010">
        <v>2016</v>
      </c>
      <c r="R1010" s="4">
        <v>42570</v>
      </c>
      <c r="S1010" s="2">
        <v>42577</v>
      </c>
      <c r="T1010" s="2">
        <v>42570</v>
      </c>
      <c r="U1010" s="4">
        <v>42630</v>
      </c>
      <c r="V1010" t="s">
        <v>71</v>
      </c>
      <c r="W1010" t="str">
        <f>"       000120-2016-E"</f>
        <v xml:space="preserve">       000120-2016-E</v>
      </c>
      <c r="X1010">
        <v>62.22</v>
      </c>
      <c r="Y1010">
        <v>0</v>
      </c>
      <c r="Z1010" s="5">
        <v>51</v>
      </c>
      <c r="AA1010" s="3">
        <v>142</v>
      </c>
      <c r="AB1010" s="5">
        <v>7242</v>
      </c>
      <c r="AC1010">
        <v>51</v>
      </c>
      <c r="AD1010">
        <v>142</v>
      </c>
      <c r="AE1010" s="1">
        <v>7242</v>
      </c>
      <c r="AF1010">
        <v>11.22</v>
      </c>
      <c r="AJ1010">
        <v>0</v>
      </c>
      <c r="AK1010">
        <v>0</v>
      </c>
      <c r="AL1010">
        <v>0</v>
      </c>
      <c r="AM1010">
        <v>0</v>
      </c>
      <c r="AN1010">
        <v>0</v>
      </c>
      <c r="AO1010">
        <v>0</v>
      </c>
      <c r="AP1010" s="2">
        <v>42831</v>
      </c>
      <c r="AQ1010" t="s">
        <v>72</v>
      </c>
      <c r="AR1010" t="s">
        <v>72</v>
      </c>
      <c r="AS1010">
        <v>292</v>
      </c>
      <c r="AT1010" s="4">
        <v>42772</v>
      </c>
      <c r="AU1010" t="s">
        <v>73</v>
      </c>
      <c r="AV1010">
        <v>292</v>
      </c>
      <c r="AW1010" s="4">
        <v>42772</v>
      </c>
      <c r="BD1010">
        <v>11.22</v>
      </c>
      <c r="BN1010" t="s">
        <v>74</v>
      </c>
    </row>
    <row r="1011" spans="1:66">
      <c r="A1011">
        <v>101317</v>
      </c>
      <c r="B1011" t="s">
        <v>264</v>
      </c>
      <c r="C1011" s="1">
        <v>43300101</v>
      </c>
      <c r="D1011" t="s">
        <v>67</v>
      </c>
      <c r="H1011" t="str">
        <f t="shared" si="130"/>
        <v>DNGGTN52A01A783M</v>
      </c>
      <c r="I1011" t="str">
        <f t="shared" si="131"/>
        <v>00592310627</v>
      </c>
      <c r="K1011" t="str">
        <f>""</f>
        <v/>
      </c>
      <c r="M1011" t="s">
        <v>68</v>
      </c>
      <c r="N1011" t="str">
        <f t="shared" si="132"/>
        <v>FOR</v>
      </c>
      <c r="O1011" t="s">
        <v>69</v>
      </c>
      <c r="P1011" t="s">
        <v>75</v>
      </c>
      <c r="Q1011">
        <v>2016</v>
      </c>
      <c r="R1011" s="4">
        <v>42570</v>
      </c>
      <c r="S1011" s="2">
        <v>42577</v>
      </c>
      <c r="T1011" s="2">
        <v>42570</v>
      </c>
      <c r="U1011" s="4">
        <v>42630</v>
      </c>
      <c r="V1011" t="s">
        <v>71</v>
      </c>
      <c r="W1011" t="str">
        <f>"       000121-2016-E"</f>
        <v xml:space="preserve">       000121-2016-E</v>
      </c>
      <c r="X1011">
        <v>36.479999999999997</v>
      </c>
      <c r="Y1011">
        <v>0</v>
      </c>
      <c r="Z1011" s="5">
        <v>29.9</v>
      </c>
      <c r="AA1011" s="3">
        <v>142</v>
      </c>
      <c r="AB1011" s="5">
        <v>4245.8</v>
      </c>
      <c r="AC1011">
        <v>29.9</v>
      </c>
      <c r="AD1011">
        <v>142</v>
      </c>
      <c r="AE1011" s="1">
        <v>4245.8</v>
      </c>
      <c r="AF1011">
        <v>6.58</v>
      </c>
      <c r="AJ1011">
        <v>0</v>
      </c>
      <c r="AK1011">
        <v>0</v>
      </c>
      <c r="AL1011">
        <v>0</v>
      </c>
      <c r="AM1011">
        <v>0</v>
      </c>
      <c r="AN1011">
        <v>0</v>
      </c>
      <c r="AO1011">
        <v>0</v>
      </c>
      <c r="AP1011" s="2">
        <v>42831</v>
      </c>
      <c r="AQ1011" t="s">
        <v>72</v>
      </c>
      <c r="AR1011" t="s">
        <v>72</v>
      </c>
      <c r="AS1011">
        <v>292</v>
      </c>
      <c r="AT1011" s="4">
        <v>42772</v>
      </c>
      <c r="AU1011" t="s">
        <v>73</v>
      </c>
      <c r="AV1011">
        <v>292</v>
      </c>
      <c r="AW1011" s="4">
        <v>42772</v>
      </c>
      <c r="BD1011">
        <v>6.58</v>
      </c>
      <c r="BN1011" t="s">
        <v>74</v>
      </c>
    </row>
    <row r="1012" spans="1:66">
      <c r="A1012">
        <v>101317</v>
      </c>
      <c r="B1012" t="s">
        <v>264</v>
      </c>
      <c r="C1012" s="1">
        <v>43300101</v>
      </c>
      <c r="D1012" t="s">
        <v>67</v>
      </c>
      <c r="H1012" t="str">
        <f t="shared" si="130"/>
        <v>DNGGTN52A01A783M</v>
      </c>
      <c r="I1012" t="str">
        <f t="shared" si="131"/>
        <v>00592310627</v>
      </c>
      <c r="K1012" t="str">
        <f>""</f>
        <v/>
      </c>
      <c r="M1012" t="s">
        <v>68</v>
      </c>
      <c r="N1012" t="str">
        <f t="shared" si="132"/>
        <v>FOR</v>
      </c>
      <c r="O1012" t="s">
        <v>69</v>
      </c>
      <c r="P1012" t="s">
        <v>75</v>
      </c>
      <c r="Q1012">
        <v>2016</v>
      </c>
      <c r="R1012" s="4">
        <v>42570</v>
      </c>
      <c r="S1012" s="2">
        <v>42577</v>
      </c>
      <c r="T1012" s="2">
        <v>42570</v>
      </c>
      <c r="U1012" s="4">
        <v>42630</v>
      </c>
      <c r="V1012" t="s">
        <v>71</v>
      </c>
      <c r="W1012" t="str">
        <f>"       000122-2016-E"</f>
        <v xml:space="preserve">       000122-2016-E</v>
      </c>
      <c r="X1012">
        <v>436.15</v>
      </c>
      <c r="Y1012">
        <v>0</v>
      </c>
      <c r="Z1012" s="5">
        <v>357.5</v>
      </c>
      <c r="AA1012" s="3">
        <v>142</v>
      </c>
      <c r="AB1012" s="5">
        <v>50765</v>
      </c>
      <c r="AC1012">
        <v>357.5</v>
      </c>
      <c r="AD1012">
        <v>142</v>
      </c>
      <c r="AE1012" s="1">
        <v>50765</v>
      </c>
      <c r="AF1012">
        <v>78.650000000000006</v>
      </c>
      <c r="AJ1012">
        <v>0</v>
      </c>
      <c r="AK1012">
        <v>0</v>
      </c>
      <c r="AL1012">
        <v>0</v>
      </c>
      <c r="AM1012">
        <v>0</v>
      </c>
      <c r="AN1012">
        <v>0</v>
      </c>
      <c r="AO1012">
        <v>0</v>
      </c>
      <c r="AP1012" s="2">
        <v>42831</v>
      </c>
      <c r="AQ1012" t="s">
        <v>72</v>
      </c>
      <c r="AR1012" t="s">
        <v>72</v>
      </c>
      <c r="AS1012">
        <v>292</v>
      </c>
      <c r="AT1012" s="4">
        <v>42772</v>
      </c>
      <c r="AU1012" t="s">
        <v>73</v>
      </c>
      <c r="AV1012">
        <v>292</v>
      </c>
      <c r="AW1012" s="4">
        <v>42772</v>
      </c>
      <c r="BD1012">
        <v>78.650000000000006</v>
      </c>
      <c r="BN1012" t="s">
        <v>74</v>
      </c>
    </row>
    <row r="1013" spans="1:66">
      <c r="A1013">
        <v>101317</v>
      </c>
      <c r="B1013" t="s">
        <v>264</v>
      </c>
      <c r="C1013" s="1">
        <v>43300101</v>
      </c>
      <c r="D1013" t="s">
        <v>67</v>
      </c>
      <c r="H1013" t="str">
        <f t="shared" si="130"/>
        <v>DNGGTN52A01A783M</v>
      </c>
      <c r="I1013" t="str">
        <f t="shared" si="131"/>
        <v>00592310627</v>
      </c>
      <c r="K1013" t="str">
        <f>""</f>
        <v/>
      </c>
      <c r="M1013" t="s">
        <v>68</v>
      </c>
      <c r="N1013" t="str">
        <f t="shared" si="132"/>
        <v>FOR</v>
      </c>
      <c r="O1013" t="s">
        <v>69</v>
      </c>
      <c r="P1013" t="s">
        <v>75</v>
      </c>
      <c r="Q1013">
        <v>2016</v>
      </c>
      <c r="R1013" s="4">
        <v>42578</v>
      </c>
      <c r="S1013" s="2">
        <v>42580</v>
      </c>
      <c r="T1013" s="2">
        <v>42579</v>
      </c>
      <c r="U1013" s="4">
        <v>42639</v>
      </c>
      <c r="V1013" t="s">
        <v>71</v>
      </c>
      <c r="W1013" t="str">
        <f>"       000123-2016-E"</f>
        <v xml:space="preserve">       000123-2016-E</v>
      </c>
      <c r="X1013">
        <v>375.76</v>
      </c>
      <c r="Y1013">
        <v>0</v>
      </c>
      <c r="Z1013" s="5">
        <v>308</v>
      </c>
      <c r="AA1013" s="3">
        <v>133</v>
      </c>
      <c r="AB1013" s="5">
        <v>40964</v>
      </c>
      <c r="AC1013">
        <v>308</v>
      </c>
      <c r="AD1013">
        <v>133</v>
      </c>
      <c r="AE1013" s="1">
        <v>40964</v>
      </c>
      <c r="AF1013">
        <v>67.760000000000005</v>
      </c>
      <c r="AJ1013">
        <v>0</v>
      </c>
      <c r="AK1013">
        <v>0</v>
      </c>
      <c r="AL1013">
        <v>0</v>
      </c>
      <c r="AM1013">
        <v>0</v>
      </c>
      <c r="AN1013">
        <v>0</v>
      </c>
      <c r="AO1013">
        <v>0</v>
      </c>
      <c r="AP1013" s="2">
        <v>42831</v>
      </c>
      <c r="AQ1013" t="s">
        <v>72</v>
      </c>
      <c r="AR1013" t="s">
        <v>72</v>
      </c>
      <c r="AS1013">
        <v>292</v>
      </c>
      <c r="AT1013" s="4">
        <v>42772</v>
      </c>
      <c r="AU1013" t="s">
        <v>73</v>
      </c>
      <c r="AV1013">
        <v>292</v>
      </c>
      <c r="AW1013" s="4">
        <v>42772</v>
      </c>
      <c r="BD1013">
        <v>67.760000000000005</v>
      </c>
      <c r="BN1013" t="s">
        <v>74</v>
      </c>
    </row>
    <row r="1014" spans="1:66">
      <c r="A1014">
        <v>101317</v>
      </c>
      <c r="B1014" t="s">
        <v>264</v>
      </c>
      <c r="C1014" s="1">
        <v>43300101</v>
      </c>
      <c r="D1014" t="s">
        <v>67</v>
      </c>
      <c r="H1014" t="str">
        <f t="shared" si="130"/>
        <v>DNGGTN52A01A783M</v>
      </c>
      <c r="I1014" t="str">
        <f t="shared" si="131"/>
        <v>00592310627</v>
      </c>
      <c r="K1014" t="str">
        <f>""</f>
        <v/>
      </c>
      <c r="M1014" t="s">
        <v>68</v>
      </c>
      <c r="N1014" t="str">
        <f t="shared" si="132"/>
        <v>FOR</v>
      </c>
      <c r="O1014" t="s">
        <v>69</v>
      </c>
      <c r="P1014" t="s">
        <v>75</v>
      </c>
      <c r="Q1014">
        <v>2016</v>
      </c>
      <c r="R1014" s="4">
        <v>42578</v>
      </c>
      <c r="S1014" s="2">
        <v>42580</v>
      </c>
      <c r="T1014" s="2">
        <v>42579</v>
      </c>
      <c r="U1014" s="4">
        <v>42639</v>
      </c>
      <c r="V1014" t="s">
        <v>71</v>
      </c>
      <c r="W1014" t="str">
        <f>"       000124-2016-E"</f>
        <v xml:space="preserve">       000124-2016-E</v>
      </c>
      <c r="X1014">
        <v>67.099999999999994</v>
      </c>
      <c r="Y1014">
        <v>0</v>
      </c>
      <c r="Z1014" s="5">
        <v>55</v>
      </c>
      <c r="AA1014" s="3">
        <v>133</v>
      </c>
      <c r="AB1014" s="5">
        <v>7315</v>
      </c>
      <c r="AC1014">
        <v>55</v>
      </c>
      <c r="AD1014">
        <v>133</v>
      </c>
      <c r="AE1014" s="1">
        <v>7315</v>
      </c>
      <c r="AF1014">
        <v>12.1</v>
      </c>
      <c r="AJ1014">
        <v>0</v>
      </c>
      <c r="AK1014">
        <v>0</v>
      </c>
      <c r="AL1014">
        <v>0</v>
      </c>
      <c r="AM1014">
        <v>0</v>
      </c>
      <c r="AN1014">
        <v>0</v>
      </c>
      <c r="AO1014">
        <v>0</v>
      </c>
      <c r="AP1014" s="2">
        <v>42831</v>
      </c>
      <c r="AQ1014" t="s">
        <v>72</v>
      </c>
      <c r="AR1014" t="s">
        <v>72</v>
      </c>
      <c r="AS1014">
        <v>292</v>
      </c>
      <c r="AT1014" s="4">
        <v>42772</v>
      </c>
      <c r="AU1014" t="s">
        <v>73</v>
      </c>
      <c r="AV1014">
        <v>292</v>
      </c>
      <c r="AW1014" s="4">
        <v>42772</v>
      </c>
      <c r="BD1014">
        <v>12.1</v>
      </c>
      <c r="BN1014" t="s">
        <v>74</v>
      </c>
    </row>
    <row r="1015" spans="1:66">
      <c r="A1015">
        <v>101317</v>
      </c>
      <c r="B1015" t="s">
        <v>264</v>
      </c>
      <c r="C1015" s="1">
        <v>43300101</v>
      </c>
      <c r="D1015" t="s">
        <v>67</v>
      </c>
      <c r="H1015" t="str">
        <f t="shared" si="130"/>
        <v>DNGGTN52A01A783M</v>
      </c>
      <c r="I1015" t="str">
        <f t="shared" si="131"/>
        <v>00592310627</v>
      </c>
      <c r="K1015" t="str">
        <f>""</f>
        <v/>
      </c>
      <c r="M1015" t="s">
        <v>68</v>
      </c>
      <c r="N1015" t="str">
        <f t="shared" si="132"/>
        <v>FOR</v>
      </c>
      <c r="O1015" t="s">
        <v>69</v>
      </c>
      <c r="P1015" t="s">
        <v>75</v>
      </c>
      <c r="Q1015">
        <v>2016</v>
      </c>
      <c r="R1015" s="4">
        <v>42578</v>
      </c>
      <c r="S1015" s="2">
        <v>42580</v>
      </c>
      <c r="T1015" s="2">
        <v>42579</v>
      </c>
      <c r="U1015" s="4">
        <v>42639</v>
      </c>
      <c r="V1015" t="s">
        <v>71</v>
      </c>
      <c r="W1015" t="str">
        <f>"       000125-2016-E"</f>
        <v xml:space="preserve">       000125-2016-E</v>
      </c>
      <c r="X1015">
        <v>853.39</v>
      </c>
      <c r="Y1015">
        <v>0</v>
      </c>
      <c r="Z1015" s="5">
        <v>699.5</v>
      </c>
      <c r="AA1015" s="3">
        <v>133</v>
      </c>
      <c r="AB1015" s="5">
        <v>93033.5</v>
      </c>
      <c r="AC1015">
        <v>699.5</v>
      </c>
      <c r="AD1015">
        <v>133</v>
      </c>
      <c r="AE1015" s="1">
        <v>93033.5</v>
      </c>
      <c r="AF1015">
        <v>153.88999999999999</v>
      </c>
      <c r="AJ1015">
        <v>0</v>
      </c>
      <c r="AK1015">
        <v>0</v>
      </c>
      <c r="AL1015">
        <v>0</v>
      </c>
      <c r="AM1015">
        <v>0</v>
      </c>
      <c r="AN1015">
        <v>0</v>
      </c>
      <c r="AO1015">
        <v>0</v>
      </c>
      <c r="AP1015" s="2">
        <v>42831</v>
      </c>
      <c r="AQ1015" t="s">
        <v>72</v>
      </c>
      <c r="AR1015" t="s">
        <v>72</v>
      </c>
      <c r="AS1015">
        <v>292</v>
      </c>
      <c r="AT1015" s="4">
        <v>42772</v>
      </c>
      <c r="AU1015" t="s">
        <v>73</v>
      </c>
      <c r="AV1015">
        <v>292</v>
      </c>
      <c r="AW1015" s="4">
        <v>42772</v>
      </c>
      <c r="BD1015">
        <v>153.88999999999999</v>
      </c>
      <c r="BN1015" t="s">
        <v>74</v>
      </c>
    </row>
    <row r="1016" spans="1:66">
      <c r="A1016">
        <v>101317</v>
      </c>
      <c r="B1016" t="s">
        <v>264</v>
      </c>
      <c r="C1016" s="1">
        <v>43300101</v>
      </c>
      <c r="D1016" t="s">
        <v>67</v>
      </c>
      <c r="H1016" t="str">
        <f t="shared" si="130"/>
        <v>DNGGTN52A01A783M</v>
      </c>
      <c r="I1016" t="str">
        <f t="shared" si="131"/>
        <v>00592310627</v>
      </c>
      <c r="K1016" t="str">
        <f>""</f>
        <v/>
      </c>
      <c r="M1016" t="s">
        <v>68</v>
      </c>
      <c r="N1016" t="str">
        <f t="shared" ref="N1016:N1047" si="133">"FOR"</f>
        <v>FOR</v>
      </c>
      <c r="O1016" t="s">
        <v>69</v>
      </c>
      <c r="P1016" t="s">
        <v>75</v>
      </c>
      <c r="Q1016">
        <v>2016</v>
      </c>
      <c r="R1016" s="4">
        <v>42578</v>
      </c>
      <c r="S1016" s="2">
        <v>42580</v>
      </c>
      <c r="T1016" s="2">
        <v>42579</v>
      </c>
      <c r="U1016" s="4">
        <v>42639</v>
      </c>
      <c r="V1016" t="s">
        <v>71</v>
      </c>
      <c r="W1016" t="str">
        <f>"       000126-2016-E"</f>
        <v xml:space="preserve">       000126-2016-E</v>
      </c>
      <c r="X1016">
        <v>59.78</v>
      </c>
      <c r="Y1016">
        <v>0</v>
      </c>
      <c r="Z1016" s="5">
        <v>49</v>
      </c>
      <c r="AA1016" s="3">
        <v>133</v>
      </c>
      <c r="AB1016" s="5">
        <v>6517</v>
      </c>
      <c r="AC1016">
        <v>49</v>
      </c>
      <c r="AD1016">
        <v>133</v>
      </c>
      <c r="AE1016" s="1">
        <v>6517</v>
      </c>
      <c r="AF1016">
        <v>10.78</v>
      </c>
      <c r="AJ1016">
        <v>0</v>
      </c>
      <c r="AK1016">
        <v>0</v>
      </c>
      <c r="AL1016">
        <v>0</v>
      </c>
      <c r="AM1016">
        <v>0</v>
      </c>
      <c r="AN1016">
        <v>0</v>
      </c>
      <c r="AO1016">
        <v>0</v>
      </c>
      <c r="AP1016" s="2">
        <v>42831</v>
      </c>
      <c r="AQ1016" t="s">
        <v>72</v>
      </c>
      <c r="AR1016" t="s">
        <v>72</v>
      </c>
      <c r="AS1016">
        <v>292</v>
      </c>
      <c r="AT1016" s="4">
        <v>42772</v>
      </c>
      <c r="AU1016" t="s">
        <v>73</v>
      </c>
      <c r="AV1016">
        <v>292</v>
      </c>
      <c r="AW1016" s="4">
        <v>42772</v>
      </c>
      <c r="BD1016">
        <v>10.78</v>
      </c>
      <c r="BN1016" t="s">
        <v>74</v>
      </c>
    </row>
    <row r="1017" spans="1:66">
      <c r="A1017">
        <v>101317</v>
      </c>
      <c r="B1017" t="s">
        <v>264</v>
      </c>
      <c r="C1017" s="1">
        <v>43300101</v>
      </c>
      <c r="D1017" t="s">
        <v>67</v>
      </c>
      <c r="H1017" t="str">
        <f t="shared" si="130"/>
        <v>DNGGTN52A01A783M</v>
      </c>
      <c r="I1017" t="str">
        <f t="shared" si="131"/>
        <v>00592310627</v>
      </c>
      <c r="K1017" t="str">
        <f>""</f>
        <v/>
      </c>
      <c r="M1017" t="s">
        <v>68</v>
      </c>
      <c r="N1017" t="str">
        <f t="shared" si="133"/>
        <v>FOR</v>
      </c>
      <c r="O1017" t="s">
        <v>69</v>
      </c>
      <c r="P1017" t="s">
        <v>75</v>
      </c>
      <c r="Q1017">
        <v>2016</v>
      </c>
      <c r="R1017" s="4">
        <v>42578</v>
      </c>
      <c r="S1017" s="2">
        <v>42580</v>
      </c>
      <c r="T1017" s="2">
        <v>42579</v>
      </c>
      <c r="U1017" s="4">
        <v>42639</v>
      </c>
      <c r="V1017" t="s">
        <v>71</v>
      </c>
      <c r="W1017" t="str">
        <f>"       000127-2016-E"</f>
        <v xml:space="preserve">       000127-2016-E</v>
      </c>
      <c r="X1017">
        <v>71.739999999999995</v>
      </c>
      <c r="Y1017">
        <v>0</v>
      </c>
      <c r="Z1017" s="5">
        <v>58.8</v>
      </c>
      <c r="AA1017" s="3">
        <v>133</v>
      </c>
      <c r="AB1017" s="5">
        <v>7820.4</v>
      </c>
      <c r="AC1017">
        <v>58.8</v>
      </c>
      <c r="AD1017">
        <v>133</v>
      </c>
      <c r="AE1017" s="1">
        <v>7820.4</v>
      </c>
      <c r="AF1017">
        <v>12.94</v>
      </c>
      <c r="AJ1017">
        <v>0</v>
      </c>
      <c r="AK1017">
        <v>0</v>
      </c>
      <c r="AL1017">
        <v>0</v>
      </c>
      <c r="AM1017">
        <v>0</v>
      </c>
      <c r="AN1017">
        <v>0</v>
      </c>
      <c r="AO1017">
        <v>0</v>
      </c>
      <c r="AP1017" s="2">
        <v>42831</v>
      </c>
      <c r="AQ1017" t="s">
        <v>72</v>
      </c>
      <c r="AR1017" t="s">
        <v>72</v>
      </c>
      <c r="AS1017">
        <v>292</v>
      </c>
      <c r="AT1017" s="4">
        <v>42772</v>
      </c>
      <c r="AU1017" t="s">
        <v>73</v>
      </c>
      <c r="AV1017">
        <v>292</v>
      </c>
      <c r="AW1017" s="4">
        <v>42772</v>
      </c>
      <c r="BD1017">
        <v>12.94</v>
      </c>
      <c r="BN1017" t="s">
        <v>74</v>
      </c>
    </row>
    <row r="1018" spans="1:66">
      <c r="A1018">
        <v>101317</v>
      </c>
      <c r="B1018" t="s">
        <v>264</v>
      </c>
      <c r="C1018" s="1">
        <v>43300101</v>
      </c>
      <c r="D1018" t="s">
        <v>67</v>
      </c>
      <c r="H1018" t="str">
        <f t="shared" si="130"/>
        <v>DNGGTN52A01A783M</v>
      </c>
      <c r="I1018" t="str">
        <f t="shared" si="131"/>
        <v>00592310627</v>
      </c>
      <c r="K1018" t="str">
        <f>""</f>
        <v/>
      </c>
      <c r="M1018" t="s">
        <v>68</v>
      </c>
      <c r="N1018" t="str">
        <f t="shared" si="133"/>
        <v>FOR</v>
      </c>
      <c r="O1018" t="s">
        <v>69</v>
      </c>
      <c r="P1018" t="s">
        <v>75</v>
      </c>
      <c r="Q1018">
        <v>2016</v>
      </c>
      <c r="R1018" s="4">
        <v>42578</v>
      </c>
      <c r="S1018" s="2">
        <v>42580</v>
      </c>
      <c r="T1018" s="2">
        <v>42579</v>
      </c>
      <c r="U1018" s="4">
        <v>42639</v>
      </c>
      <c r="V1018" t="s">
        <v>71</v>
      </c>
      <c r="W1018" t="str">
        <f>"       000128-2016-E"</f>
        <v xml:space="preserve">       000128-2016-E</v>
      </c>
      <c r="X1018">
        <v>950.26</v>
      </c>
      <c r="Y1018">
        <v>0</v>
      </c>
      <c r="Z1018" s="5">
        <v>778.9</v>
      </c>
      <c r="AA1018" s="3">
        <v>133</v>
      </c>
      <c r="AB1018" s="5">
        <v>103593.7</v>
      </c>
      <c r="AC1018">
        <v>778.9</v>
      </c>
      <c r="AD1018">
        <v>133</v>
      </c>
      <c r="AE1018" s="1">
        <v>103593.7</v>
      </c>
      <c r="AF1018">
        <v>171.36</v>
      </c>
      <c r="AJ1018">
        <v>0</v>
      </c>
      <c r="AK1018">
        <v>0</v>
      </c>
      <c r="AL1018">
        <v>0</v>
      </c>
      <c r="AM1018">
        <v>0</v>
      </c>
      <c r="AN1018">
        <v>0</v>
      </c>
      <c r="AO1018">
        <v>0</v>
      </c>
      <c r="AP1018" s="2">
        <v>42831</v>
      </c>
      <c r="AQ1018" t="s">
        <v>72</v>
      </c>
      <c r="AR1018" t="s">
        <v>72</v>
      </c>
      <c r="AS1018">
        <v>292</v>
      </c>
      <c r="AT1018" s="4">
        <v>42772</v>
      </c>
      <c r="AU1018" t="s">
        <v>73</v>
      </c>
      <c r="AV1018">
        <v>292</v>
      </c>
      <c r="AW1018" s="4">
        <v>42772</v>
      </c>
      <c r="BD1018">
        <v>171.36</v>
      </c>
      <c r="BN1018" t="s">
        <v>74</v>
      </c>
    </row>
    <row r="1019" spans="1:66">
      <c r="A1019">
        <v>101317</v>
      </c>
      <c r="B1019" t="s">
        <v>264</v>
      </c>
      <c r="C1019" s="1">
        <v>43300101</v>
      </c>
      <c r="D1019" t="s">
        <v>67</v>
      </c>
      <c r="H1019" t="str">
        <f t="shared" si="130"/>
        <v>DNGGTN52A01A783M</v>
      </c>
      <c r="I1019" t="str">
        <f t="shared" si="131"/>
        <v>00592310627</v>
      </c>
      <c r="K1019" t="str">
        <f>""</f>
        <v/>
      </c>
      <c r="M1019" t="s">
        <v>68</v>
      </c>
      <c r="N1019" t="str">
        <f t="shared" si="133"/>
        <v>FOR</v>
      </c>
      <c r="O1019" t="s">
        <v>69</v>
      </c>
      <c r="P1019" t="s">
        <v>75</v>
      </c>
      <c r="Q1019">
        <v>2016</v>
      </c>
      <c r="R1019" s="4">
        <v>42578</v>
      </c>
      <c r="S1019" s="2">
        <v>42580</v>
      </c>
      <c r="T1019" s="2">
        <v>42579</v>
      </c>
      <c r="U1019" s="4">
        <v>42639</v>
      </c>
      <c r="V1019" t="s">
        <v>71</v>
      </c>
      <c r="W1019" t="str">
        <f>"       000129-2016-E"</f>
        <v xml:space="preserve">       000129-2016-E</v>
      </c>
      <c r="X1019">
        <v>247.66</v>
      </c>
      <c r="Y1019">
        <v>0</v>
      </c>
      <c r="Z1019" s="5">
        <v>203</v>
      </c>
      <c r="AA1019" s="3">
        <v>133</v>
      </c>
      <c r="AB1019" s="5">
        <v>26999</v>
      </c>
      <c r="AC1019">
        <v>203</v>
      </c>
      <c r="AD1019">
        <v>133</v>
      </c>
      <c r="AE1019" s="1">
        <v>26999</v>
      </c>
      <c r="AF1019">
        <v>44.66</v>
      </c>
      <c r="AJ1019">
        <v>0</v>
      </c>
      <c r="AK1019">
        <v>0</v>
      </c>
      <c r="AL1019">
        <v>0</v>
      </c>
      <c r="AM1019">
        <v>0</v>
      </c>
      <c r="AN1019">
        <v>0</v>
      </c>
      <c r="AO1019">
        <v>0</v>
      </c>
      <c r="AP1019" s="2">
        <v>42831</v>
      </c>
      <c r="AQ1019" t="s">
        <v>72</v>
      </c>
      <c r="AR1019" t="s">
        <v>72</v>
      </c>
      <c r="AS1019">
        <v>292</v>
      </c>
      <c r="AT1019" s="4">
        <v>42772</v>
      </c>
      <c r="AU1019" t="s">
        <v>73</v>
      </c>
      <c r="AV1019">
        <v>292</v>
      </c>
      <c r="AW1019" s="4">
        <v>42772</v>
      </c>
      <c r="BD1019">
        <v>44.66</v>
      </c>
      <c r="BN1019" t="s">
        <v>74</v>
      </c>
    </row>
    <row r="1020" spans="1:66">
      <c r="A1020">
        <v>101317</v>
      </c>
      <c r="B1020" t="s">
        <v>264</v>
      </c>
      <c r="C1020" s="1">
        <v>43300101</v>
      </c>
      <c r="D1020" t="s">
        <v>67</v>
      </c>
      <c r="H1020" t="str">
        <f t="shared" si="130"/>
        <v>DNGGTN52A01A783M</v>
      </c>
      <c r="I1020" t="str">
        <f t="shared" si="131"/>
        <v>00592310627</v>
      </c>
      <c r="K1020" t="str">
        <f>""</f>
        <v/>
      </c>
      <c r="M1020" t="s">
        <v>68</v>
      </c>
      <c r="N1020" t="str">
        <f t="shared" si="133"/>
        <v>FOR</v>
      </c>
      <c r="O1020" t="s">
        <v>69</v>
      </c>
      <c r="P1020" t="s">
        <v>75</v>
      </c>
      <c r="Q1020">
        <v>2016</v>
      </c>
      <c r="R1020" s="4">
        <v>42578</v>
      </c>
      <c r="S1020" s="2">
        <v>42580</v>
      </c>
      <c r="T1020" s="2">
        <v>42579</v>
      </c>
      <c r="U1020" s="4">
        <v>42639</v>
      </c>
      <c r="V1020" t="s">
        <v>71</v>
      </c>
      <c r="W1020" t="str">
        <f>"       000130-2016-E"</f>
        <v xml:space="preserve">       000130-2016-E</v>
      </c>
      <c r="X1020">
        <v>108.46</v>
      </c>
      <c r="Y1020">
        <v>0</v>
      </c>
      <c r="Z1020" s="5">
        <v>88.9</v>
      </c>
      <c r="AA1020" s="3">
        <v>133</v>
      </c>
      <c r="AB1020" s="5">
        <v>11823.7</v>
      </c>
      <c r="AC1020">
        <v>88.9</v>
      </c>
      <c r="AD1020">
        <v>133</v>
      </c>
      <c r="AE1020" s="1">
        <v>11823.7</v>
      </c>
      <c r="AF1020">
        <v>19.559999999999999</v>
      </c>
      <c r="AJ1020">
        <v>0</v>
      </c>
      <c r="AK1020">
        <v>0</v>
      </c>
      <c r="AL1020">
        <v>0</v>
      </c>
      <c r="AM1020">
        <v>0</v>
      </c>
      <c r="AN1020">
        <v>0</v>
      </c>
      <c r="AO1020">
        <v>0</v>
      </c>
      <c r="AP1020" s="2">
        <v>42831</v>
      </c>
      <c r="AQ1020" t="s">
        <v>72</v>
      </c>
      <c r="AR1020" t="s">
        <v>72</v>
      </c>
      <c r="AS1020">
        <v>292</v>
      </c>
      <c r="AT1020" s="4">
        <v>42772</v>
      </c>
      <c r="AU1020" t="s">
        <v>73</v>
      </c>
      <c r="AV1020">
        <v>292</v>
      </c>
      <c r="AW1020" s="4">
        <v>42772</v>
      </c>
      <c r="BD1020">
        <v>19.559999999999999</v>
      </c>
      <c r="BN1020" t="s">
        <v>74</v>
      </c>
    </row>
    <row r="1021" spans="1:66">
      <c r="A1021">
        <v>101317</v>
      </c>
      <c r="B1021" t="s">
        <v>264</v>
      </c>
      <c r="C1021" s="1">
        <v>43300101</v>
      </c>
      <c r="D1021" t="s">
        <v>67</v>
      </c>
      <c r="H1021" t="str">
        <f t="shared" si="130"/>
        <v>DNGGTN52A01A783M</v>
      </c>
      <c r="I1021" t="str">
        <f t="shared" si="131"/>
        <v>00592310627</v>
      </c>
      <c r="K1021" t="str">
        <f>""</f>
        <v/>
      </c>
      <c r="M1021" t="s">
        <v>68</v>
      </c>
      <c r="N1021" t="str">
        <f t="shared" si="133"/>
        <v>FOR</v>
      </c>
      <c r="O1021" t="s">
        <v>69</v>
      </c>
      <c r="P1021" t="s">
        <v>75</v>
      </c>
      <c r="Q1021">
        <v>2016</v>
      </c>
      <c r="R1021" s="4">
        <v>42580</v>
      </c>
      <c r="S1021" s="2">
        <v>42583</v>
      </c>
      <c r="T1021" s="2">
        <v>42580</v>
      </c>
      <c r="U1021" s="4">
        <v>42640</v>
      </c>
      <c r="V1021" t="s">
        <v>71</v>
      </c>
      <c r="W1021" t="str">
        <f>"       000131-2016-E"</f>
        <v xml:space="preserve">       000131-2016-E</v>
      </c>
      <c r="X1021" s="1">
        <v>1169.8599999999999</v>
      </c>
      <c r="Y1021">
        <v>0</v>
      </c>
      <c r="Z1021" s="5">
        <v>958.9</v>
      </c>
      <c r="AA1021" s="3">
        <v>139</v>
      </c>
      <c r="AB1021" s="5">
        <v>133287.1</v>
      </c>
      <c r="AC1021">
        <v>958.9</v>
      </c>
      <c r="AD1021">
        <v>139</v>
      </c>
      <c r="AE1021" s="1">
        <v>133287.1</v>
      </c>
      <c r="AF1021">
        <v>0</v>
      </c>
      <c r="AJ1021">
        <v>0</v>
      </c>
      <c r="AK1021">
        <v>0</v>
      </c>
      <c r="AL1021">
        <v>0</v>
      </c>
      <c r="AM1021">
        <v>0</v>
      </c>
      <c r="AN1021">
        <v>0</v>
      </c>
      <c r="AO1021">
        <v>0</v>
      </c>
      <c r="AP1021" s="2">
        <v>42831</v>
      </c>
      <c r="AQ1021" t="s">
        <v>72</v>
      </c>
      <c r="AR1021" t="s">
        <v>72</v>
      </c>
      <c r="AS1021">
        <v>412</v>
      </c>
      <c r="AT1021" s="4">
        <v>42779</v>
      </c>
      <c r="AU1021" t="s">
        <v>73</v>
      </c>
      <c r="AV1021">
        <v>412</v>
      </c>
      <c r="AW1021" s="4">
        <v>42779</v>
      </c>
      <c r="BD1021">
        <v>0</v>
      </c>
      <c r="BN1021" t="s">
        <v>74</v>
      </c>
    </row>
    <row r="1022" spans="1:66">
      <c r="A1022">
        <v>101317</v>
      </c>
      <c r="B1022" t="s">
        <v>264</v>
      </c>
      <c r="C1022" s="1">
        <v>43300101</v>
      </c>
      <c r="D1022" t="s">
        <v>67</v>
      </c>
      <c r="H1022" t="str">
        <f t="shared" si="130"/>
        <v>DNGGTN52A01A783M</v>
      </c>
      <c r="I1022" t="str">
        <f t="shared" si="131"/>
        <v>00592310627</v>
      </c>
      <c r="K1022" t="str">
        <f>""</f>
        <v/>
      </c>
      <c r="M1022" t="s">
        <v>68</v>
      </c>
      <c r="N1022" t="str">
        <f t="shared" si="133"/>
        <v>FOR</v>
      </c>
      <c r="O1022" t="s">
        <v>69</v>
      </c>
      <c r="P1022" t="s">
        <v>75</v>
      </c>
      <c r="Q1022">
        <v>2016</v>
      </c>
      <c r="R1022" s="4">
        <v>42590</v>
      </c>
      <c r="S1022" s="2">
        <v>42591</v>
      </c>
      <c r="T1022" s="2">
        <v>42590</v>
      </c>
      <c r="U1022" s="4">
        <v>42650</v>
      </c>
      <c r="V1022" t="s">
        <v>71</v>
      </c>
      <c r="W1022" t="str">
        <f>"       000132-2016-E"</f>
        <v xml:space="preserve">       000132-2016-E</v>
      </c>
      <c r="X1022">
        <v>463.6</v>
      </c>
      <c r="Y1022">
        <v>0</v>
      </c>
      <c r="Z1022" s="5">
        <v>380</v>
      </c>
      <c r="AA1022" s="3">
        <v>122</v>
      </c>
      <c r="AB1022" s="5">
        <v>46360</v>
      </c>
      <c r="AC1022">
        <v>380</v>
      </c>
      <c r="AD1022">
        <v>122</v>
      </c>
      <c r="AE1022" s="1">
        <v>46360</v>
      </c>
      <c r="AF1022">
        <v>83.6</v>
      </c>
      <c r="AJ1022">
        <v>0</v>
      </c>
      <c r="AK1022">
        <v>0</v>
      </c>
      <c r="AL1022">
        <v>0</v>
      </c>
      <c r="AM1022">
        <v>0</v>
      </c>
      <c r="AN1022">
        <v>0</v>
      </c>
      <c r="AO1022">
        <v>0</v>
      </c>
      <c r="AP1022" s="2">
        <v>42831</v>
      </c>
      <c r="AQ1022" t="s">
        <v>72</v>
      </c>
      <c r="AR1022" t="s">
        <v>72</v>
      </c>
      <c r="AS1022">
        <v>292</v>
      </c>
      <c r="AT1022" s="4">
        <v>42772</v>
      </c>
      <c r="AU1022" t="s">
        <v>73</v>
      </c>
      <c r="AV1022">
        <v>292</v>
      </c>
      <c r="AW1022" s="4">
        <v>42772</v>
      </c>
      <c r="BC1022">
        <v>83.6</v>
      </c>
      <c r="BD1022">
        <v>0</v>
      </c>
      <c r="BN1022" t="s">
        <v>74</v>
      </c>
    </row>
    <row r="1023" spans="1:66">
      <c r="A1023">
        <v>101317</v>
      </c>
      <c r="B1023" t="s">
        <v>264</v>
      </c>
      <c r="C1023" s="1">
        <v>43300101</v>
      </c>
      <c r="D1023" t="s">
        <v>67</v>
      </c>
      <c r="H1023" t="str">
        <f t="shared" si="130"/>
        <v>DNGGTN52A01A783M</v>
      </c>
      <c r="I1023" t="str">
        <f t="shared" si="131"/>
        <v>00592310627</v>
      </c>
      <c r="K1023" t="str">
        <f>""</f>
        <v/>
      </c>
      <c r="M1023" t="s">
        <v>68</v>
      </c>
      <c r="N1023" t="str">
        <f t="shared" si="133"/>
        <v>FOR</v>
      </c>
      <c r="O1023" t="s">
        <v>69</v>
      </c>
      <c r="P1023" t="s">
        <v>75</v>
      </c>
      <c r="Q1023">
        <v>2016</v>
      </c>
      <c r="R1023" s="4">
        <v>42592</v>
      </c>
      <c r="S1023" s="2">
        <v>42592</v>
      </c>
      <c r="T1023" s="2">
        <v>42592</v>
      </c>
      <c r="U1023" s="4">
        <v>42652</v>
      </c>
      <c r="V1023" t="s">
        <v>71</v>
      </c>
      <c r="W1023" t="str">
        <f>"       000133-2016-E"</f>
        <v xml:space="preserve">       000133-2016-E</v>
      </c>
      <c r="X1023">
        <v>378.2</v>
      </c>
      <c r="Y1023">
        <v>0</v>
      </c>
      <c r="Z1023" s="5">
        <v>310</v>
      </c>
      <c r="AA1023" s="3">
        <v>120</v>
      </c>
      <c r="AB1023" s="5">
        <v>37200</v>
      </c>
      <c r="AC1023">
        <v>310</v>
      </c>
      <c r="AD1023">
        <v>120</v>
      </c>
      <c r="AE1023" s="1">
        <v>37200</v>
      </c>
      <c r="AF1023">
        <v>68.2</v>
      </c>
      <c r="AJ1023">
        <v>0</v>
      </c>
      <c r="AK1023">
        <v>0</v>
      </c>
      <c r="AL1023">
        <v>0</v>
      </c>
      <c r="AM1023">
        <v>0</v>
      </c>
      <c r="AN1023">
        <v>0</v>
      </c>
      <c r="AO1023">
        <v>0</v>
      </c>
      <c r="AP1023" s="2">
        <v>42831</v>
      </c>
      <c r="AQ1023" t="s">
        <v>72</v>
      </c>
      <c r="AR1023" t="s">
        <v>72</v>
      </c>
      <c r="AS1023">
        <v>292</v>
      </c>
      <c r="AT1023" s="4">
        <v>42772</v>
      </c>
      <c r="AU1023" t="s">
        <v>73</v>
      </c>
      <c r="AV1023">
        <v>292</v>
      </c>
      <c r="AW1023" s="4">
        <v>42772</v>
      </c>
      <c r="BC1023">
        <v>68.2</v>
      </c>
      <c r="BD1023">
        <v>0</v>
      </c>
      <c r="BN1023" t="s">
        <v>74</v>
      </c>
    </row>
    <row r="1024" spans="1:66">
      <c r="A1024">
        <v>101317</v>
      </c>
      <c r="B1024" t="s">
        <v>264</v>
      </c>
      <c r="C1024" s="1">
        <v>43300101</v>
      </c>
      <c r="D1024" t="s">
        <v>67</v>
      </c>
      <c r="H1024" t="str">
        <f t="shared" si="130"/>
        <v>DNGGTN52A01A783M</v>
      </c>
      <c r="I1024" t="str">
        <f t="shared" si="131"/>
        <v>00592310627</v>
      </c>
      <c r="K1024" t="str">
        <f>""</f>
        <v/>
      </c>
      <c r="M1024" t="s">
        <v>68</v>
      </c>
      <c r="N1024" t="str">
        <f t="shared" si="133"/>
        <v>FOR</v>
      </c>
      <c r="O1024" t="s">
        <v>69</v>
      </c>
      <c r="P1024" t="s">
        <v>75</v>
      </c>
      <c r="Q1024">
        <v>2016</v>
      </c>
      <c r="R1024" s="4">
        <v>42592</v>
      </c>
      <c r="S1024" s="2">
        <v>42593</v>
      </c>
      <c r="T1024" s="2">
        <v>42592</v>
      </c>
      <c r="U1024" s="4">
        <v>42652</v>
      </c>
      <c r="V1024" t="s">
        <v>71</v>
      </c>
      <c r="W1024" t="str">
        <f>"       000134-2016-E"</f>
        <v xml:space="preserve">       000134-2016-E</v>
      </c>
      <c r="X1024">
        <v>316.95999999999998</v>
      </c>
      <c r="Y1024">
        <v>0</v>
      </c>
      <c r="Z1024" s="5">
        <v>259.8</v>
      </c>
      <c r="AA1024" s="3">
        <v>120</v>
      </c>
      <c r="AB1024" s="5">
        <v>31176</v>
      </c>
      <c r="AC1024">
        <v>259.8</v>
      </c>
      <c r="AD1024">
        <v>120</v>
      </c>
      <c r="AE1024" s="1">
        <v>31176</v>
      </c>
      <c r="AF1024">
        <v>57.16</v>
      </c>
      <c r="AJ1024">
        <v>0</v>
      </c>
      <c r="AK1024">
        <v>0</v>
      </c>
      <c r="AL1024">
        <v>0</v>
      </c>
      <c r="AM1024">
        <v>0</v>
      </c>
      <c r="AN1024">
        <v>0</v>
      </c>
      <c r="AO1024">
        <v>0</v>
      </c>
      <c r="AP1024" s="2">
        <v>42831</v>
      </c>
      <c r="AQ1024" t="s">
        <v>72</v>
      </c>
      <c r="AR1024" t="s">
        <v>72</v>
      </c>
      <c r="AS1024">
        <v>292</v>
      </c>
      <c r="AT1024" s="4">
        <v>42772</v>
      </c>
      <c r="AU1024" t="s">
        <v>73</v>
      </c>
      <c r="AV1024">
        <v>292</v>
      </c>
      <c r="AW1024" s="4">
        <v>42772</v>
      </c>
      <c r="BC1024">
        <v>57.16</v>
      </c>
      <c r="BD1024">
        <v>0</v>
      </c>
      <c r="BN1024" t="s">
        <v>74</v>
      </c>
    </row>
    <row r="1025" spans="1:66">
      <c r="A1025">
        <v>101317</v>
      </c>
      <c r="B1025" t="s">
        <v>264</v>
      </c>
      <c r="C1025" s="1">
        <v>43300101</v>
      </c>
      <c r="D1025" t="s">
        <v>67</v>
      </c>
      <c r="H1025" t="str">
        <f t="shared" si="130"/>
        <v>DNGGTN52A01A783M</v>
      </c>
      <c r="I1025" t="str">
        <f t="shared" si="131"/>
        <v>00592310627</v>
      </c>
      <c r="K1025" t="str">
        <f>""</f>
        <v/>
      </c>
      <c r="M1025" t="s">
        <v>68</v>
      </c>
      <c r="N1025" t="str">
        <f t="shared" si="133"/>
        <v>FOR</v>
      </c>
      <c r="O1025" t="s">
        <v>69</v>
      </c>
      <c r="P1025" t="s">
        <v>75</v>
      </c>
      <c r="Q1025">
        <v>2016</v>
      </c>
      <c r="R1025" s="4">
        <v>42592</v>
      </c>
      <c r="S1025" s="2">
        <v>42593</v>
      </c>
      <c r="T1025" s="2">
        <v>42592</v>
      </c>
      <c r="U1025" s="4">
        <v>42652</v>
      </c>
      <c r="V1025" t="s">
        <v>71</v>
      </c>
      <c r="W1025" t="str">
        <f>"       000135-2016-E"</f>
        <v xml:space="preserve">       000135-2016-E</v>
      </c>
      <c r="X1025">
        <v>316.95999999999998</v>
      </c>
      <c r="Y1025">
        <v>0</v>
      </c>
      <c r="Z1025" s="5">
        <v>259.8</v>
      </c>
      <c r="AA1025" s="3">
        <v>120</v>
      </c>
      <c r="AB1025" s="5">
        <v>31176</v>
      </c>
      <c r="AC1025">
        <v>259.8</v>
      </c>
      <c r="AD1025">
        <v>120</v>
      </c>
      <c r="AE1025" s="1">
        <v>31176</v>
      </c>
      <c r="AF1025">
        <v>57.16</v>
      </c>
      <c r="AJ1025">
        <v>0</v>
      </c>
      <c r="AK1025">
        <v>0</v>
      </c>
      <c r="AL1025">
        <v>0</v>
      </c>
      <c r="AM1025">
        <v>0</v>
      </c>
      <c r="AN1025">
        <v>0</v>
      </c>
      <c r="AO1025">
        <v>0</v>
      </c>
      <c r="AP1025" s="2">
        <v>42831</v>
      </c>
      <c r="AQ1025" t="s">
        <v>72</v>
      </c>
      <c r="AR1025" t="s">
        <v>72</v>
      </c>
      <c r="AS1025">
        <v>292</v>
      </c>
      <c r="AT1025" s="4">
        <v>42772</v>
      </c>
      <c r="AU1025" t="s">
        <v>73</v>
      </c>
      <c r="AV1025">
        <v>292</v>
      </c>
      <c r="AW1025" s="4">
        <v>42772</v>
      </c>
      <c r="BC1025">
        <v>57.16</v>
      </c>
      <c r="BD1025">
        <v>0</v>
      </c>
      <c r="BN1025" t="s">
        <v>74</v>
      </c>
    </row>
    <row r="1026" spans="1:66">
      <c r="A1026">
        <v>101317</v>
      </c>
      <c r="B1026" t="s">
        <v>264</v>
      </c>
      <c r="C1026" s="1">
        <v>43300101</v>
      </c>
      <c r="D1026" t="s">
        <v>67</v>
      </c>
      <c r="H1026" t="str">
        <f t="shared" si="130"/>
        <v>DNGGTN52A01A783M</v>
      </c>
      <c r="I1026" t="str">
        <f t="shared" si="131"/>
        <v>00592310627</v>
      </c>
      <c r="K1026" t="str">
        <f>""</f>
        <v/>
      </c>
      <c r="M1026" t="s">
        <v>68</v>
      </c>
      <c r="N1026" t="str">
        <f t="shared" si="133"/>
        <v>FOR</v>
      </c>
      <c r="O1026" t="s">
        <v>69</v>
      </c>
      <c r="P1026" t="s">
        <v>75</v>
      </c>
      <c r="Q1026">
        <v>2016</v>
      </c>
      <c r="R1026" s="4">
        <v>42592</v>
      </c>
      <c r="S1026" s="2">
        <v>42593</v>
      </c>
      <c r="T1026" s="2">
        <v>42592</v>
      </c>
      <c r="U1026" s="4">
        <v>42652</v>
      </c>
      <c r="V1026" t="s">
        <v>71</v>
      </c>
      <c r="W1026" t="str">
        <f>"       000136-2016-E"</f>
        <v xml:space="preserve">       000136-2016-E</v>
      </c>
      <c r="X1026">
        <v>61</v>
      </c>
      <c r="Y1026">
        <v>0</v>
      </c>
      <c r="Z1026" s="5">
        <v>50</v>
      </c>
      <c r="AA1026" s="3">
        <v>120</v>
      </c>
      <c r="AB1026" s="5">
        <v>6000</v>
      </c>
      <c r="AC1026">
        <v>50</v>
      </c>
      <c r="AD1026">
        <v>120</v>
      </c>
      <c r="AE1026" s="1">
        <v>6000</v>
      </c>
      <c r="AF1026">
        <v>11</v>
      </c>
      <c r="AJ1026">
        <v>0</v>
      </c>
      <c r="AK1026">
        <v>0</v>
      </c>
      <c r="AL1026">
        <v>0</v>
      </c>
      <c r="AM1026">
        <v>0</v>
      </c>
      <c r="AN1026">
        <v>0</v>
      </c>
      <c r="AO1026">
        <v>0</v>
      </c>
      <c r="AP1026" s="2">
        <v>42831</v>
      </c>
      <c r="AQ1026" t="s">
        <v>72</v>
      </c>
      <c r="AR1026" t="s">
        <v>72</v>
      </c>
      <c r="AS1026">
        <v>292</v>
      </c>
      <c r="AT1026" s="4">
        <v>42772</v>
      </c>
      <c r="AU1026" t="s">
        <v>73</v>
      </c>
      <c r="AV1026">
        <v>292</v>
      </c>
      <c r="AW1026" s="4">
        <v>42772</v>
      </c>
      <c r="BC1026">
        <v>11</v>
      </c>
      <c r="BD1026">
        <v>0</v>
      </c>
      <c r="BN1026" t="s">
        <v>74</v>
      </c>
    </row>
    <row r="1027" spans="1:66">
      <c r="A1027">
        <v>101317</v>
      </c>
      <c r="B1027" t="s">
        <v>264</v>
      </c>
      <c r="C1027" s="1">
        <v>43300101</v>
      </c>
      <c r="D1027" t="s">
        <v>67</v>
      </c>
      <c r="H1027" t="str">
        <f t="shared" si="130"/>
        <v>DNGGTN52A01A783M</v>
      </c>
      <c r="I1027" t="str">
        <f t="shared" si="131"/>
        <v>00592310627</v>
      </c>
      <c r="K1027" t="str">
        <f>""</f>
        <v/>
      </c>
      <c r="M1027" t="s">
        <v>68</v>
      </c>
      <c r="N1027" t="str">
        <f t="shared" si="133"/>
        <v>FOR</v>
      </c>
      <c r="O1027" t="s">
        <v>69</v>
      </c>
      <c r="P1027" t="s">
        <v>75</v>
      </c>
      <c r="Q1027">
        <v>2016</v>
      </c>
      <c r="R1027" s="4">
        <v>42592</v>
      </c>
      <c r="S1027" s="2">
        <v>42593</v>
      </c>
      <c r="T1027" s="2">
        <v>42592</v>
      </c>
      <c r="U1027" s="4">
        <v>42652</v>
      </c>
      <c r="V1027" t="s">
        <v>71</v>
      </c>
      <c r="W1027" t="str">
        <f>"       000137-2016-E"</f>
        <v xml:space="preserve">       000137-2016-E</v>
      </c>
      <c r="X1027">
        <v>292.56</v>
      </c>
      <c r="Y1027">
        <v>0</v>
      </c>
      <c r="Z1027" s="5">
        <v>239.8</v>
      </c>
      <c r="AA1027" s="3">
        <v>120</v>
      </c>
      <c r="AB1027" s="5">
        <v>28776</v>
      </c>
      <c r="AC1027">
        <v>239.8</v>
      </c>
      <c r="AD1027">
        <v>120</v>
      </c>
      <c r="AE1027" s="1">
        <v>28776</v>
      </c>
      <c r="AF1027">
        <v>52.76</v>
      </c>
      <c r="AJ1027">
        <v>0</v>
      </c>
      <c r="AK1027">
        <v>0</v>
      </c>
      <c r="AL1027">
        <v>0</v>
      </c>
      <c r="AM1027">
        <v>0</v>
      </c>
      <c r="AN1027">
        <v>0</v>
      </c>
      <c r="AO1027">
        <v>0</v>
      </c>
      <c r="AP1027" s="2">
        <v>42831</v>
      </c>
      <c r="AQ1027" t="s">
        <v>72</v>
      </c>
      <c r="AR1027" t="s">
        <v>72</v>
      </c>
      <c r="AS1027">
        <v>292</v>
      </c>
      <c r="AT1027" s="4">
        <v>42772</v>
      </c>
      <c r="AU1027" t="s">
        <v>73</v>
      </c>
      <c r="AV1027">
        <v>292</v>
      </c>
      <c r="AW1027" s="4">
        <v>42772</v>
      </c>
      <c r="BC1027">
        <v>52.76</v>
      </c>
      <c r="BD1027">
        <v>0</v>
      </c>
      <c r="BN1027" t="s">
        <v>74</v>
      </c>
    </row>
    <row r="1028" spans="1:66">
      <c r="A1028">
        <v>101317</v>
      </c>
      <c r="B1028" t="s">
        <v>264</v>
      </c>
      <c r="C1028" s="1">
        <v>43300101</v>
      </c>
      <c r="D1028" t="s">
        <v>67</v>
      </c>
      <c r="H1028" t="str">
        <f t="shared" si="130"/>
        <v>DNGGTN52A01A783M</v>
      </c>
      <c r="I1028" t="str">
        <f t="shared" si="131"/>
        <v>00592310627</v>
      </c>
      <c r="K1028" t="str">
        <f>""</f>
        <v/>
      </c>
      <c r="M1028" t="s">
        <v>68</v>
      </c>
      <c r="N1028" t="str">
        <f t="shared" si="133"/>
        <v>FOR</v>
      </c>
      <c r="O1028" t="s">
        <v>69</v>
      </c>
      <c r="P1028" t="s">
        <v>75</v>
      </c>
      <c r="Q1028">
        <v>2016</v>
      </c>
      <c r="R1028" s="4">
        <v>42592</v>
      </c>
      <c r="S1028" s="2">
        <v>42593</v>
      </c>
      <c r="T1028" s="2">
        <v>42592</v>
      </c>
      <c r="U1028" s="4">
        <v>42652</v>
      </c>
      <c r="V1028" t="s">
        <v>71</v>
      </c>
      <c r="W1028" t="str">
        <f>"       000139-2016-E"</f>
        <v xml:space="preserve">       000139-2016-E</v>
      </c>
      <c r="X1028">
        <v>646.72</v>
      </c>
      <c r="Y1028">
        <v>0</v>
      </c>
      <c r="Z1028" s="5">
        <v>530.1</v>
      </c>
      <c r="AA1028" s="3">
        <v>120</v>
      </c>
      <c r="AB1028" s="5">
        <v>63612</v>
      </c>
      <c r="AC1028">
        <v>530.1</v>
      </c>
      <c r="AD1028">
        <v>120</v>
      </c>
      <c r="AE1028" s="1">
        <v>63612</v>
      </c>
      <c r="AF1028">
        <v>116.62</v>
      </c>
      <c r="AJ1028">
        <v>0</v>
      </c>
      <c r="AK1028">
        <v>0</v>
      </c>
      <c r="AL1028">
        <v>0</v>
      </c>
      <c r="AM1028">
        <v>0</v>
      </c>
      <c r="AN1028">
        <v>0</v>
      </c>
      <c r="AO1028">
        <v>0</v>
      </c>
      <c r="AP1028" s="2">
        <v>42831</v>
      </c>
      <c r="AQ1028" t="s">
        <v>72</v>
      </c>
      <c r="AR1028" t="s">
        <v>72</v>
      </c>
      <c r="AS1028">
        <v>292</v>
      </c>
      <c r="AT1028" s="4">
        <v>42772</v>
      </c>
      <c r="AU1028" t="s">
        <v>73</v>
      </c>
      <c r="AV1028">
        <v>292</v>
      </c>
      <c r="AW1028" s="4">
        <v>42772</v>
      </c>
      <c r="BC1028">
        <v>116.62</v>
      </c>
      <c r="BD1028">
        <v>0</v>
      </c>
      <c r="BN1028" t="s">
        <v>74</v>
      </c>
    </row>
    <row r="1029" spans="1:66">
      <c r="A1029">
        <v>101317</v>
      </c>
      <c r="B1029" t="s">
        <v>264</v>
      </c>
      <c r="C1029" s="1">
        <v>43300101</v>
      </c>
      <c r="D1029" t="s">
        <v>67</v>
      </c>
      <c r="H1029" t="str">
        <f t="shared" si="130"/>
        <v>DNGGTN52A01A783M</v>
      </c>
      <c r="I1029" t="str">
        <f t="shared" si="131"/>
        <v>00592310627</v>
      </c>
      <c r="K1029" t="str">
        <f>""</f>
        <v/>
      </c>
      <c r="M1029" t="s">
        <v>68</v>
      </c>
      <c r="N1029" t="str">
        <f t="shared" si="133"/>
        <v>FOR</v>
      </c>
      <c r="O1029" t="s">
        <v>69</v>
      </c>
      <c r="P1029" t="s">
        <v>75</v>
      </c>
      <c r="Q1029">
        <v>2016</v>
      </c>
      <c r="R1029" s="4">
        <v>42592</v>
      </c>
      <c r="S1029" s="2">
        <v>42593</v>
      </c>
      <c r="T1029" s="2">
        <v>42592</v>
      </c>
      <c r="U1029" s="4">
        <v>42652</v>
      </c>
      <c r="V1029" t="s">
        <v>71</v>
      </c>
      <c r="W1029" t="str">
        <f>"       000143-2016-E"</f>
        <v xml:space="preserve">       000143-2016-E</v>
      </c>
      <c r="X1029">
        <v>347.7</v>
      </c>
      <c r="Y1029">
        <v>0</v>
      </c>
      <c r="Z1029" s="5">
        <v>285</v>
      </c>
      <c r="AA1029" s="3">
        <v>120</v>
      </c>
      <c r="AB1029" s="5">
        <v>34200</v>
      </c>
      <c r="AC1029">
        <v>285</v>
      </c>
      <c r="AD1029">
        <v>120</v>
      </c>
      <c r="AE1029" s="1">
        <v>34200</v>
      </c>
      <c r="AF1029">
        <v>62.7</v>
      </c>
      <c r="AJ1029">
        <v>0</v>
      </c>
      <c r="AK1029">
        <v>0</v>
      </c>
      <c r="AL1029">
        <v>0</v>
      </c>
      <c r="AM1029">
        <v>0</v>
      </c>
      <c r="AN1029">
        <v>0</v>
      </c>
      <c r="AO1029">
        <v>0</v>
      </c>
      <c r="AP1029" s="2">
        <v>42831</v>
      </c>
      <c r="AQ1029" t="s">
        <v>72</v>
      </c>
      <c r="AR1029" t="s">
        <v>72</v>
      </c>
      <c r="AS1029">
        <v>292</v>
      </c>
      <c r="AT1029" s="4">
        <v>42772</v>
      </c>
      <c r="AU1029" t="s">
        <v>73</v>
      </c>
      <c r="AV1029">
        <v>292</v>
      </c>
      <c r="AW1029" s="4">
        <v>42772</v>
      </c>
      <c r="BC1029">
        <v>62.7</v>
      </c>
      <c r="BD1029">
        <v>0</v>
      </c>
      <c r="BN1029" t="s">
        <v>74</v>
      </c>
    </row>
    <row r="1030" spans="1:66">
      <c r="A1030">
        <v>101317</v>
      </c>
      <c r="B1030" t="s">
        <v>264</v>
      </c>
      <c r="C1030" s="1">
        <v>43300101</v>
      </c>
      <c r="D1030" t="s">
        <v>67</v>
      </c>
      <c r="H1030" t="str">
        <f t="shared" si="130"/>
        <v>DNGGTN52A01A783M</v>
      </c>
      <c r="I1030" t="str">
        <f t="shared" si="131"/>
        <v>00592310627</v>
      </c>
      <c r="K1030" t="str">
        <f>""</f>
        <v/>
      </c>
      <c r="M1030" t="s">
        <v>68</v>
      </c>
      <c r="N1030" t="str">
        <f t="shared" si="133"/>
        <v>FOR</v>
      </c>
      <c r="O1030" t="s">
        <v>69</v>
      </c>
      <c r="P1030" t="s">
        <v>75</v>
      </c>
      <c r="Q1030">
        <v>2016</v>
      </c>
      <c r="R1030" s="4">
        <v>42622</v>
      </c>
      <c r="S1030" s="2">
        <v>42625</v>
      </c>
      <c r="T1030" s="2">
        <v>42622</v>
      </c>
      <c r="U1030" s="4">
        <v>42682</v>
      </c>
      <c r="V1030" t="s">
        <v>71</v>
      </c>
      <c r="W1030" t="str">
        <f>"       000152-2016-E"</f>
        <v xml:space="preserve">       000152-2016-E</v>
      </c>
      <c r="X1030" s="1">
        <v>1177.3</v>
      </c>
      <c r="Y1030">
        <v>0</v>
      </c>
      <c r="Z1030" s="5">
        <v>965</v>
      </c>
      <c r="AA1030" s="3">
        <v>90</v>
      </c>
      <c r="AB1030" s="5">
        <v>86850</v>
      </c>
      <c r="AC1030">
        <v>965</v>
      </c>
      <c r="AD1030">
        <v>90</v>
      </c>
      <c r="AE1030" s="1">
        <v>86850</v>
      </c>
      <c r="AF1030">
        <v>212.3</v>
      </c>
      <c r="AJ1030">
        <v>0</v>
      </c>
      <c r="AK1030">
        <v>0</v>
      </c>
      <c r="AL1030">
        <v>0</v>
      </c>
      <c r="AM1030">
        <v>0</v>
      </c>
      <c r="AN1030">
        <v>0</v>
      </c>
      <c r="AO1030">
        <v>0</v>
      </c>
      <c r="AP1030" s="2">
        <v>42831</v>
      </c>
      <c r="AQ1030" t="s">
        <v>72</v>
      </c>
      <c r="AR1030" t="s">
        <v>72</v>
      </c>
      <c r="AS1030">
        <v>293</v>
      </c>
      <c r="AT1030" s="4">
        <v>42772</v>
      </c>
      <c r="AU1030" t="s">
        <v>73</v>
      </c>
      <c r="AV1030">
        <v>293</v>
      </c>
      <c r="AW1030" s="4">
        <v>42772</v>
      </c>
      <c r="BB1030">
        <v>212.3</v>
      </c>
      <c r="BD1030">
        <v>0</v>
      </c>
      <c r="BN1030" t="s">
        <v>74</v>
      </c>
    </row>
    <row r="1031" spans="1:66">
      <c r="A1031">
        <v>101317</v>
      </c>
      <c r="B1031" t="s">
        <v>264</v>
      </c>
      <c r="C1031" s="1">
        <v>43300101</v>
      </c>
      <c r="D1031" t="s">
        <v>67</v>
      </c>
      <c r="H1031" t="str">
        <f t="shared" si="130"/>
        <v>DNGGTN52A01A783M</v>
      </c>
      <c r="I1031" t="str">
        <f t="shared" si="131"/>
        <v>00592310627</v>
      </c>
      <c r="K1031" t="str">
        <f>""</f>
        <v/>
      </c>
      <c r="M1031" t="s">
        <v>68</v>
      </c>
      <c r="N1031" t="str">
        <f t="shared" si="133"/>
        <v>FOR</v>
      </c>
      <c r="O1031" t="s">
        <v>69</v>
      </c>
      <c r="P1031" t="s">
        <v>75</v>
      </c>
      <c r="Q1031">
        <v>2016</v>
      </c>
      <c r="R1031" s="4">
        <v>42633</v>
      </c>
      <c r="S1031" s="2">
        <v>42635</v>
      </c>
      <c r="T1031" s="2">
        <v>42633</v>
      </c>
      <c r="U1031" s="4">
        <v>42693</v>
      </c>
      <c r="V1031" t="s">
        <v>71</v>
      </c>
      <c r="W1031" t="str">
        <f>"       000159-2016-E"</f>
        <v xml:space="preserve">       000159-2016-E</v>
      </c>
      <c r="X1031">
        <v>115.9</v>
      </c>
      <c r="Y1031">
        <v>0</v>
      </c>
      <c r="Z1031" s="5">
        <v>95</v>
      </c>
      <c r="AA1031" s="3">
        <v>79</v>
      </c>
      <c r="AB1031" s="5">
        <v>7505</v>
      </c>
      <c r="AC1031">
        <v>95</v>
      </c>
      <c r="AD1031">
        <v>79</v>
      </c>
      <c r="AE1031" s="1">
        <v>7505</v>
      </c>
      <c r="AF1031">
        <v>20.9</v>
      </c>
      <c r="AJ1031">
        <v>0</v>
      </c>
      <c r="AK1031">
        <v>0</v>
      </c>
      <c r="AL1031">
        <v>0</v>
      </c>
      <c r="AM1031">
        <v>0</v>
      </c>
      <c r="AN1031">
        <v>0</v>
      </c>
      <c r="AO1031">
        <v>0</v>
      </c>
      <c r="AP1031" s="2">
        <v>42831</v>
      </c>
      <c r="AQ1031" t="s">
        <v>72</v>
      </c>
      <c r="AR1031" t="s">
        <v>72</v>
      </c>
      <c r="AS1031">
        <v>292</v>
      </c>
      <c r="AT1031" s="4">
        <v>42772</v>
      </c>
      <c r="AU1031" t="s">
        <v>73</v>
      </c>
      <c r="AV1031">
        <v>292</v>
      </c>
      <c r="AW1031" s="4">
        <v>42772</v>
      </c>
      <c r="BB1031">
        <v>20.9</v>
      </c>
      <c r="BD1031">
        <v>0</v>
      </c>
      <c r="BN1031" t="s">
        <v>74</v>
      </c>
    </row>
    <row r="1032" spans="1:66">
      <c r="A1032">
        <v>101335</v>
      </c>
      <c r="B1032" t="s">
        <v>265</v>
      </c>
      <c r="C1032" s="1">
        <v>43300101</v>
      </c>
      <c r="D1032" t="s">
        <v>67</v>
      </c>
      <c r="H1032" t="str">
        <f t="shared" ref="H1032:I1034" si="134">"00742090152"</f>
        <v>00742090152</v>
      </c>
      <c r="I1032" t="str">
        <f t="shared" si="134"/>
        <v>00742090152</v>
      </c>
      <c r="K1032" t="str">
        <f>""</f>
        <v/>
      </c>
      <c r="M1032" t="s">
        <v>68</v>
      </c>
      <c r="N1032" t="str">
        <f t="shared" si="133"/>
        <v>FOR</v>
      </c>
      <c r="O1032" t="s">
        <v>69</v>
      </c>
      <c r="P1032" t="s">
        <v>75</v>
      </c>
      <c r="Q1032">
        <v>2016</v>
      </c>
      <c r="R1032" s="4">
        <v>42472</v>
      </c>
      <c r="S1032" s="2">
        <v>42474</v>
      </c>
      <c r="T1032" s="2">
        <v>42473</v>
      </c>
      <c r="U1032" s="4">
        <v>42533</v>
      </c>
      <c r="V1032" t="s">
        <v>71</v>
      </c>
      <c r="W1032" t="str">
        <f>"          7216202254"</f>
        <v xml:space="preserve">          7216202254</v>
      </c>
      <c r="X1032" s="1">
        <v>5502.2</v>
      </c>
      <c r="Y1032">
        <v>0</v>
      </c>
      <c r="Z1032" s="5">
        <v>4510</v>
      </c>
      <c r="AA1032" s="3">
        <v>247</v>
      </c>
      <c r="AB1032" s="5">
        <v>1113970</v>
      </c>
      <c r="AC1032" s="1">
        <v>4510</v>
      </c>
      <c r="AD1032">
        <v>247</v>
      </c>
      <c r="AE1032" s="1">
        <v>1113970</v>
      </c>
      <c r="AF1032">
        <v>0</v>
      </c>
      <c r="AJ1032">
        <v>0</v>
      </c>
      <c r="AK1032">
        <v>0</v>
      </c>
      <c r="AL1032">
        <v>0</v>
      </c>
      <c r="AM1032">
        <v>0</v>
      </c>
      <c r="AN1032">
        <v>0</v>
      </c>
      <c r="AO1032">
        <v>0</v>
      </c>
      <c r="AP1032" s="2">
        <v>42831</v>
      </c>
      <c r="AQ1032" t="s">
        <v>72</v>
      </c>
      <c r="AR1032" t="s">
        <v>72</v>
      </c>
      <c r="AS1032">
        <v>438</v>
      </c>
      <c r="AT1032" s="4">
        <v>42780</v>
      </c>
      <c r="AU1032" t="s">
        <v>73</v>
      </c>
      <c r="AV1032">
        <v>438</v>
      </c>
      <c r="AW1032" s="4">
        <v>42780</v>
      </c>
      <c r="BD1032">
        <v>0</v>
      </c>
      <c r="BN1032" t="s">
        <v>74</v>
      </c>
    </row>
    <row r="1033" spans="1:66">
      <c r="A1033">
        <v>101335</v>
      </c>
      <c r="B1033" t="s">
        <v>265</v>
      </c>
      <c r="C1033" s="1">
        <v>43300101</v>
      </c>
      <c r="D1033" t="s">
        <v>67</v>
      </c>
      <c r="H1033" t="str">
        <f t="shared" si="134"/>
        <v>00742090152</v>
      </c>
      <c r="I1033" t="str">
        <f t="shared" si="134"/>
        <v>00742090152</v>
      </c>
      <c r="K1033" t="str">
        <f>""</f>
        <v/>
      </c>
      <c r="M1033" t="s">
        <v>68</v>
      </c>
      <c r="N1033" t="str">
        <f t="shared" si="133"/>
        <v>FOR</v>
      </c>
      <c r="O1033" t="s">
        <v>69</v>
      </c>
      <c r="P1033" t="s">
        <v>75</v>
      </c>
      <c r="Q1033">
        <v>2016</v>
      </c>
      <c r="R1033" s="4">
        <v>42475</v>
      </c>
      <c r="S1033" s="2">
        <v>42478</v>
      </c>
      <c r="T1033" s="2">
        <v>42476</v>
      </c>
      <c r="U1033" s="4">
        <v>42536</v>
      </c>
      <c r="V1033" t="s">
        <v>71</v>
      </c>
      <c r="W1033" t="str">
        <f>"          7216202336"</f>
        <v xml:space="preserve">          7216202336</v>
      </c>
      <c r="X1033" s="1">
        <v>2759.64</v>
      </c>
      <c r="Y1033">
        <v>0</v>
      </c>
      <c r="Z1033" s="5">
        <v>2262</v>
      </c>
      <c r="AA1033" s="3">
        <v>244</v>
      </c>
      <c r="AB1033" s="5">
        <v>551928</v>
      </c>
      <c r="AC1033" s="1">
        <v>2262</v>
      </c>
      <c r="AD1033">
        <v>244</v>
      </c>
      <c r="AE1033" s="1">
        <v>551928</v>
      </c>
      <c r="AF1033">
        <v>0</v>
      </c>
      <c r="AJ1033">
        <v>0</v>
      </c>
      <c r="AK1033">
        <v>0</v>
      </c>
      <c r="AL1033">
        <v>0</v>
      </c>
      <c r="AM1033">
        <v>0</v>
      </c>
      <c r="AN1033">
        <v>0</v>
      </c>
      <c r="AO1033">
        <v>0</v>
      </c>
      <c r="AP1033" s="2">
        <v>42831</v>
      </c>
      <c r="AQ1033" t="s">
        <v>72</v>
      </c>
      <c r="AR1033" t="s">
        <v>72</v>
      </c>
      <c r="AS1033">
        <v>438</v>
      </c>
      <c r="AT1033" s="4">
        <v>42780</v>
      </c>
      <c r="AU1033" t="s">
        <v>73</v>
      </c>
      <c r="AV1033">
        <v>438</v>
      </c>
      <c r="AW1033" s="4">
        <v>42780</v>
      </c>
      <c r="BD1033">
        <v>0</v>
      </c>
      <c r="BN1033" t="s">
        <v>74</v>
      </c>
    </row>
    <row r="1034" spans="1:66">
      <c r="A1034">
        <v>101335</v>
      </c>
      <c r="B1034" t="s">
        <v>265</v>
      </c>
      <c r="C1034" s="1">
        <v>43300101</v>
      </c>
      <c r="D1034" t="s">
        <v>67</v>
      </c>
      <c r="H1034" t="str">
        <f t="shared" si="134"/>
        <v>00742090152</v>
      </c>
      <c r="I1034" t="str">
        <f t="shared" si="134"/>
        <v>00742090152</v>
      </c>
      <c r="K1034" t="str">
        <f>""</f>
        <v/>
      </c>
      <c r="M1034" t="s">
        <v>68</v>
      </c>
      <c r="N1034" t="str">
        <f t="shared" si="133"/>
        <v>FOR</v>
      </c>
      <c r="O1034" t="s">
        <v>69</v>
      </c>
      <c r="P1034" t="s">
        <v>75</v>
      </c>
      <c r="Q1034">
        <v>2016</v>
      </c>
      <c r="R1034" s="4">
        <v>42481</v>
      </c>
      <c r="S1034" s="2">
        <v>42482</v>
      </c>
      <c r="T1034" s="2">
        <v>42482</v>
      </c>
      <c r="U1034" s="4">
        <v>42542</v>
      </c>
      <c r="V1034" t="s">
        <v>71</v>
      </c>
      <c r="W1034" t="str">
        <f>"          7216202502"</f>
        <v xml:space="preserve">          7216202502</v>
      </c>
      <c r="X1034">
        <v>888.16</v>
      </c>
      <c r="Y1034">
        <v>0</v>
      </c>
      <c r="Z1034" s="5">
        <v>728</v>
      </c>
      <c r="AA1034" s="3">
        <v>238</v>
      </c>
      <c r="AB1034" s="5">
        <v>173264</v>
      </c>
      <c r="AC1034">
        <v>728</v>
      </c>
      <c r="AD1034">
        <v>238</v>
      </c>
      <c r="AE1034" s="1">
        <v>173264</v>
      </c>
      <c r="AF1034">
        <v>0</v>
      </c>
      <c r="AJ1034">
        <v>0</v>
      </c>
      <c r="AK1034">
        <v>0</v>
      </c>
      <c r="AL1034">
        <v>0</v>
      </c>
      <c r="AM1034">
        <v>0</v>
      </c>
      <c r="AN1034">
        <v>0</v>
      </c>
      <c r="AO1034">
        <v>0</v>
      </c>
      <c r="AP1034" s="2">
        <v>42831</v>
      </c>
      <c r="AQ1034" t="s">
        <v>72</v>
      </c>
      <c r="AR1034" t="s">
        <v>72</v>
      </c>
      <c r="AS1034">
        <v>438</v>
      </c>
      <c r="AT1034" s="4">
        <v>42780</v>
      </c>
      <c r="AU1034" t="s">
        <v>73</v>
      </c>
      <c r="AV1034">
        <v>438</v>
      </c>
      <c r="AW1034" s="4">
        <v>42780</v>
      </c>
      <c r="BD1034">
        <v>0</v>
      </c>
      <c r="BN1034" t="s">
        <v>74</v>
      </c>
    </row>
    <row r="1035" spans="1:66">
      <c r="A1035">
        <v>101336</v>
      </c>
      <c r="B1035" t="s">
        <v>266</v>
      </c>
      <c r="C1035" s="1">
        <v>43300101</v>
      </c>
      <c r="D1035" t="s">
        <v>67</v>
      </c>
      <c r="H1035" t="str">
        <f t="shared" ref="H1035:I1046" si="135">"05351490965"</f>
        <v>05351490965</v>
      </c>
      <c r="I1035" t="str">
        <f t="shared" si="135"/>
        <v>05351490965</v>
      </c>
      <c r="K1035" t="str">
        <f>""</f>
        <v/>
      </c>
      <c r="M1035" t="s">
        <v>68</v>
      </c>
      <c r="N1035" t="str">
        <f t="shared" si="133"/>
        <v>FOR</v>
      </c>
      <c r="O1035" t="s">
        <v>69</v>
      </c>
      <c r="P1035" t="s">
        <v>75</v>
      </c>
      <c r="Q1035">
        <v>2016</v>
      </c>
      <c r="R1035" s="4">
        <v>42521</v>
      </c>
      <c r="S1035" s="2">
        <v>42541</v>
      </c>
      <c r="T1035" s="2">
        <v>42537</v>
      </c>
      <c r="U1035" s="4">
        <v>42597</v>
      </c>
      <c r="V1035" t="s">
        <v>71</v>
      </c>
      <c r="W1035" t="str">
        <f>"          7680012169"</f>
        <v xml:space="preserve">          7680012169</v>
      </c>
      <c r="X1035" s="1">
        <v>5333.01</v>
      </c>
      <c r="Y1035">
        <v>0</v>
      </c>
      <c r="Z1035" s="5">
        <v>4848.1899999999996</v>
      </c>
      <c r="AA1035" s="3">
        <v>175</v>
      </c>
      <c r="AB1035" s="5">
        <v>848433.25</v>
      </c>
      <c r="AC1035" s="1">
        <v>4848.1899999999996</v>
      </c>
      <c r="AD1035">
        <v>175</v>
      </c>
      <c r="AE1035" s="1">
        <v>848433.25</v>
      </c>
      <c r="AF1035">
        <v>0</v>
      </c>
      <c r="AJ1035">
        <v>0</v>
      </c>
      <c r="AK1035">
        <v>0</v>
      </c>
      <c r="AL1035">
        <v>0</v>
      </c>
      <c r="AM1035">
        <v>0</v>
      </c>
      <c r="AN1035">
        <v>0</v>
      </c>
      <c r="AO1035">
        <v>0</v>
      </c>
      <c r="AP1035" s="2">
        <v>42831</v>
      </c>
      <c r="AQ1035" t="s">
        <v>72</v>
      </c>
      <c r="AR1035" t="s">
        <v>72</v>
      </c>
      <c r="AS1035">
        <v>304</v>
      </c>
      <c r="AT1035" s="4">
        <v>42772</v>
      </c>
      <c r="AU1035" t="s">
        <v>73</v>
      </c>
      <c r="AV1035">
        <v>304</v>
      </c>
      <c r="AW1035" s="4">
        <v>42772</v>
      </c>
      <c r="BD1035">
        <v>0</v>
      </c>
      <c r="BN1035" t="s">
        <v>74</v>
      </c>
    </row>
    <row r="1036" spans="1:66">
      <c r="A1036">
        <v>101336</v>
      </c>
      <c r="B1036" t="s">
        <v>266</v>
      </c>
      <c r="C1036" s="1">
        <v>43300101</v>
      </c>
      <c r="D1036" t="s">
        <v>67</v>
      </c>
      <c r="H1036" t="str">
        <f t="shared" si="135"/>
        <v>05351490965</v>
      </c>
      <c r="I1036" t="str">
        <f t="shared" si="135"/>
        <v>05351490965</v>
      </c>
      <c r="K1036" t="str">
        <f>""</f>
        <v/>
      </c>
      <c r="M1036" t="s">
        <v>68</v>
      </c>
      <c r="N1036" t="str">
        <f t="shared" si="133"/>
        <v>FOR</v>
      </c>
      <c r="O1036" t="s">
        <v>69</v>
      </c>
      <c r="P1036" t="s">
        <v>75</v>
      </c>
      <c r="Q1036">
        <v>2016</v>
      </c>
      <c r="R1036" s="4">
        <v>42521</v>
      </c>
      <c r="S1036" s="2">
        <v>42541</v>
      </c>
      <c r="T1036" s="2">
        <v>42537</v>
      </c>
      <c r="U1036" s="4">
        <v>42597</v>
      </c>
      <c r="V1036" t="s">
        <v>71</v>
      </c>
      <c r="W1036" t="str">
        <f>"          7680012170"</f>
        <v xml:space="preserve">          7680012170</v>
      </c>
      <c r="X1036" s="1">
        <v>143360.82999999999</v>
      </c>
      <c r="Y1036" s="1">
        <v>-13032.8</v>
      </c>
      <c r="Z1036" s="5">
        <v>130328.03</v>
      </c>
      <c r="AA1036" s="3">
        <v>175</v>
      </c>
      <c r="AB1036" s="5">
        <v>22807405.25</v>
      </c>
      <c r="AC1036" s="1">
        <v>130328.03</v>
      </c>
      <c r="AD1036">
        <v>175</v>
      </c>
      <c r="AE1036" s="1">
        <v>22807405.25</v>
      </c>
      <c r="AF1036">
        <v>0</v>
      </c>
      <c r="AJ1036">
        <v>0</v>
      </c>
      <c r="AK1036">
        <v>0</v>
      </c>
      <c r="AL1036">
        <v>0</v>
      </c>
      <c r="AM1036">
        <v>0</v>
      </c>
      <c r="AN1036">
        <v>0</v>
      </c>
      <c r="AO1036">
        <v>0</v>
      </c>
      <c r="AP1036" s="2">
        <v>42831</v>
      </c>
      <c r="AQ1036" t="s">
        <v>72</v>
      </c>
      <c r="AR1036" t="s">
        <v>72</v>
      </c>
      <c r="AS1036">
        <v>304</v>
      </c>
      <c r="AT1036" s="4">
        <v>42772</v>
      </c>
      <c r="AU1036" t="s">
        <v>73</v>
      </c>
      <c r="AV1036">
        <v>304</v>
      </c>
      <c r="AW1036" s="4">
        <v>42772</v>
      </c>
      <c r="BD1036">
        <v>0</v>
      </c>
      <c r="BN1036" t="s">
        <v>74</v>
      </c>
    </row>
    <row r="1037" spans="1:66">
      <c r="A1037">
        <v>101336</v>
      </c>
      <c r="B1037" t="s">
        <v>266</v>
      </c>
      <c r="C1037" s="1">
        <v>43300101</v>
      </c>
      <c r="D1037" t="s">
        <v>67</v>
      </c>
      <c r="H1037" t="str">
        <f t="shared" si="135"/>
        <v>05351490965</v>
      </c>
      <c r="I1037" t="str">
        <f t="shared" si="135"/>
        <v>05351490965</v>
      </c>
      <c r="K1037" t="str">
        <f>""</f>
        <v/>
      </c>
      <c r="M1037" t="s">
        <v>68</v>
      </c>
      <c r="N1037" t="str">
        <f t="shared" si="133"/>
        <v>FOR</v>
      </c>
      <c r="O1037" t="s">
        <v>69</v>
      </c>
      <c r="P1037" t="s">
        <v>75</v>
      </c>
      <c r="Q1037">
        <v>2016</v>
      </c>
      <c r="R1037" s="4">
        <v>42521</v>
      </c>
      <c r="S1037" s="2">
        <v>42541</v>
      </c>
      <c r="T1037" s="2">
        <v>42537</v>
      </c>
      <c r="U1037" s="4">
        <v>42597</v>
      </c>
      <c r="V1037" t="s">
        <v>71</v>
      </c>
      <c r="W1037" t="str">
        <f>"          7680012171"</f>
        <v xml:space="preserve">          7680012171</v>
      </c>
      <c r="X1037" s="1">
        <v>3671.01</v>
      </c>
      <c r="Y1037">
        <v>0</v>
      </c>
      <c r="Z1037" s="5">
        <v>3529.82</v>
      </c>
      <c r="AA1037" s="3">
        <v>175</v>
      </c>
      <c r="AB1037" s="5">
        <v>617718.5</v>
      </c>
      <c r="AC1037" s="1">
        <v>3529.82</v>
      </c>
      <c r="AD1037">
        <v>175</v>
      </c>
      <c r="AE1037" s="1">
        <v>617718.5</v>
      </c>
      <c r="AF1037">
        <v>0</v>
      </c>
      <c r="AJ1037">
        <v>0</v>
      </c>
      <c r="AK1037">
        <v>0</v>
      </c>
      <c r="AL1037">
        <v>0</v>
      </c>
      <c r="AM1037">
        <v>0</v>
      </c>
      <c r="AN1037">
        <v>0</v>
      </c>
      <c r="AO1037">
        <v>0</v>
      </c>
      <c r="AP1037" s="2">
        <v>42831</v>
      </c>
      <c r="AQ1037" t="s">
        <v>72</v>
      </c>
      <c r="AR1037" t="s">
        <v>72</v>
      </c>
      <c r="AS1037">
        <v>304</v>
      </c>
      <c r="AT1037" s="4">
        <v>42772</v>
      </c>
      <c r="AU1037" t="s">
        <v>73</v>
      </c>
      <c r="AV1037">
        <v>304</v>
      </c>
      <c r="AW1037" s="4">
        <v>42772</v>
      </c>
      <c r="BD1037">
        <v>0</v>
      </c>
      <c r="BN1037" t="s">
        <v>74</v>
      </c>
    </row>
    <row r="1038" spans="1:66">
      <c r="A1038">
        <v>101336</v>
      </c>
      <c r="B1038" t="s">
        <v>266</v>
      </c>
      <c r="C1038" s="1">
        <v>43300101</v>
      </c>
      <c r="D1038" t="s">
        <v>67</v>
      </c>
      <c r="H1038" t="str">
        <f t="shared" si="135"/>
        <v>05351490965</v>
      </c>
      <c r="I1038" t="str">
        <f t="shared" si="135"/>
        <v>05351490965</v>
      </c>
      <c r="K1038" t="str">
        <f>""</f>
        <v/>
      </c>
      <c r="M1038" t="s">
        <v>68</v>
      </c>
      <c r="N1038" t="str">
        <f t="shared" si="133"/>
        <v>FOR</v>
      </c>
      <c r="O1038" t="s">
        <v>69</v>
      </c>
      <c r="P1038" t="s">
        <v>75</v>
      </c>
      <c r="Q1038">
        <v>2016</v>
      </c>
      <c r="R1038" s="4">
        <v>42521</v>
      </c>
      <c r="S1038" s="2">
        <v>42541</v>
      </c>
      <c r="T1038" s="2">
        <v>42537</v>
      </c>
      <c r="U1038" s="4">
        <v>42597</v>
      </c>
      <c r="V1038" t="s">
        <v>71</v>
      </c>
      <c r="W1038" t="str">
        <f>"          7680012172"</f>
        <v xml:space="preserve">          7680012172</v>
      </c>
      <c r="X1038">
        <v>972.18</v>
      </c>
      <c r="Y1038">
        <v>-88.38</v>
      </c>
      <c r="Z1038" s="5">
        <v>883.8</v>
      </c>
      <c r="AA1038" s="3">
        <v>175</v>
      </c>
      <c r="AB1038" s="5">
        <v>154665</v>
      </c>
      <c r="AC1038">
        <v>883.8</v>
      </c>
      <c r="AD1038">
        <v>175</v>
      </c>
      <c r="AE1038" s="1">
        <v>154665</v>
      </c>
      <c r="AF1038">
        <v>0</v>
      </c>
      <c r="AJ1038">
        <v>0</v>
      </c>
      <c r="AK1038">
        <v>0</v>
      </c>
      <c r="AL1038">
        <v>0</v>
      </c>
      <c r="AM1038">
        <v>0</v>
      </c>
      <c r="AN1038">
        <v>0</v>
      </c>
      <c r="AO1038">
        <v>0</v>
      </c>
      <c r="AP1038" s="2">
        <v>42831</v>
      </c>
      <c r="AQ1038" t="s">
        <v>72</v>
      </c>
      <c r="AR1038" t="s">
        <v>72</v>
      </c>
      <c r="AS1038">
        <v>304</v>
      </c>
      <c r="AT1038" s="4">
        <v>42772</v>
      </c>
      <c r="AU1038" t="s">
        <v>73</v>
      </c>
      <c r="AV1038">
        <v>304</v>
      </c>
      <c r="AW1038" s="4">
        <v>42772</v>
      </c>
      <c r="BD1038">
        <v>0</v>
      </c>
      <c r="BN1038" t="s">
        <v>74</v>
      </c>
    </row>
    <row r="1039" spans="1:66">
      <c r="A1039">
        <v>101336</v>
      </c>
      <c r="B1039" t="s">
        <v>266</v>
      </c>
      <c r="C1039" s="1">
        <v>43300101</v>
      </c>
      <c r="D1039" t="s">
        <v>67</v>
      </c>
      <c r="H1039" t="str">
        <f t="shared" si="135"/>
        <v>05351490965</v>
      </c>
      <c r="I1039" t="str">
        <f t="shared" si="135"/>
        <v>05351490965</v>
      </c>
      <c r="K1039" t="str">
        <f>""</f>
        <v/>
      </c>
      <c r="M1039" t="s">
        <v>68</v>
      </c>
      <c r="N1039" t="str">
        <f t="shared" si="133"/>
        <v>FOR</v>
      </c>
      <c r="O1039" t="s">
        <v>69</v>
      </c>
      <c r="P1039" t="s">
        <v>75</v>
      </c>
      <c r="Q1039">
        <v>2016</v>
      </c>
      <c r="R1039" s="4">
        <v>42551</v>
      </c>
      <c r="S1039" s="2">
        <v>42565</v>
      </c>
      <c r="T1039" s="2">
        <v>42564</v>
      </c>
      <c r="U1039" s="4">
        <v>42624</v>
      </c>
      <c r="V1039" t="s">
        <v>71</v>
      </c>
      <c r="W1039" t="str">
        <f>"          7680013050"</f>
        <v xml:space="preserve">          7680013050</v>
      </c>
      <c r="X1039">
        <v>849.4</v>
      </c>
      <c r="Y1039">
        <v>-77.22</v>
      </c>
      <c r="Z1039" s="5">
        <v>772.18</v>
      </c>
      <c r="AA1039" s="3">
        <v>157</v>
      </c>
      <c r="AB1039" s="5">
        <v>121232.26</v>
      </c>
      <c r="AC1039">
        <v>772.18</v>
      </c>
      <c r="AD1039">
        <v>157</v>
      </c>
      <c r="AE1039" s="1">
        <v>121232.26</v>
      </c>
      <c r="AF1039">
        <v>0</v>
      </c>
      <c r="AJ1039">
        <v>0</v>
      </c>
      <c r="AK1039">
        <v>0</v>
      </c>
      <c r="AL1039">
        <v>0</v>
      </c>
      <c r="AM1039">
        <v>0</v>
      </c>
      <c r="AN1039">
        <v>0</v>
      </c>
      <c r="AO1039">
        <v>0</v>
      </c>
      <c r="AP1039" s="2">
        <v>42831</v>
      </c>
      <c r="AQ1039" t="s">
        <v>72</v>
      </c>
      <c r="AR1039" t="s">
        <v>72</v>
      </c>
      <c r="AS1039">
        <v>459</v>
      </c>
      <c r="AT1039" s="4">
        <v>42781</v>
      </c>
      <c r="AU1039" t="s">
        <v>73</v>
      </c>
      <c r="AV1039">
        <v>459</v>
      </c>
      <c r="AW1039" s="4">
        <v>42781</v>
      </c>
      <c r="BD1039">
        <v>0</v>
      </c>
      <c r="BN1039" t="s">
        <v>74</v>
      </c>
    </row>
    <row r="1040" spans="1:66">
      <c r="A1040">
        <v>101336</v>
      </c>
      <c r="B1040" t="s">
        <v>266</v>
      </c>
      <c r="C1040" s="1">
        <v>43300101</v>
      </c>
      <c r="D1040" t="s">
        <v>67</v>
      </c>
      <c r="H1040" t="str">
        <f t="shared" si="135"/>
        <v>05351490965</v>
      </c>
      <c r="I1040" t="str">
        <f t="shared" si="135"/>
        <v>05351490965</v>
      </c>
      <c r="K1040" t="str">
        <f>""</f>
        <v/>
      </c>
      <c r="M1040" t="s">
        <v>68</v>
      </c>
      <c r="N1040" t="str">
        <f t="shared" si="133"/>
        <v>FOR</v>
      </c>
      <c r="O1040" t="s">
        <v>69</v>
      </c>
      <c r="P1040" t="s">
        <v>75</v>
      </c>
      <c r="Q1040">
        <v>2016</v>
      </c>
      <c r="R1040" s="4">
        <v>42551</v>
      </c>
      <c r="S1040" s="2">
        <v>42565</v>
      </c>
      <c r="T1040" s="2">
        <v>42564</v>
      </c>
      <c r="U1040" s="4">
        <v>42624</v>
      </c>
      <c r="V1040" t="s">
        <v>71</v>
      </c>
      <c r="W1040" t="str">
        <f>"          7680013051"</f>
        <v xml:space="preserve">          7680013051</v>
      </c>
      <c r="X1040" s="1">
        <v>3074.28</v>
      </c>
      <c r="Y1040">
        <v>0</v>
      </c>
      <c r="Z1040" s="5">
        <v>2956.04</v>
      </c>
      <c r="AA1040" s="3">
        <v>157</v>
      </c>
      <c r="AB1040" s="5">
        <v>464098.28</v>
      </c>
      <c r="AC1040" s="1">
        <v>2956.04</v>
      </c>
      <c r="AD1040">
        <v>157</v>
      </c>
      <c r="AE1040" s="1">
        <v>464098.28</v>
      </c>
      <c r="AF1040">
        <v>0</v>
      </c>
      <c r="AJ1040">
        <v>0</v>
      </c>
      <c r="AK1040">
        <v>0</v>
      </c>
      <c r="AL1040">
        <v>0</v>
      </c>
      <c r="AM1040">
        <v>0</v>
      </c>
      <c r="AN1040">
        <v>0</v>
      </c>
      <c r="AO1040">
        <v>0</v>
      </c>
      <c r="AP1040" s="2">
        <v>42831</v>
      </c>
      <c r="AQ1040" t="s">
        <v>72</v>
      </c>
      <c r="AR1040" t="s">
        <v>72</v>
      </c>
      <c r="AS1040">
        <v>459</v>
      </c>
      <c r="AT1040" s="4">
        <v>42781</v>
      </c>
      <c r="AU1040" t="s">
        <v>73</v>
      </c>
      <c r="AV1040">
        <v>459</v>
      </c>
      <c r="AW1040" s="4">
        <v>42781</v>
      </c>
      <c r="BD1040">
        <v>0</v>
      </c>
      <c r="BN1040" t="s">
        <v>74</v>
      </c>
    </row>
    <row r="1041" spans="1:66">
      <c r="A1041">
        <v>101336</v>
      </c>
      <c r="B1041" t="s">
        <v>266</v>
      </c>
      <c r="C1041" s="1">
        <v>43300101</v>
      </c>
      <c r="D1041" t="s">
        <v>67</v>
      </c>
      <c r="H1041" t="str">
        <f t="shared" si="135"/>
        <v>05351490965</v>
      </c>
      <c r="I1041" t="str">
        <f t="shared" si="135"/>
        <v>05351490965</v>
      </c>
      <c r="K1041" t="str">
        <f>""</f>
        <v/>
      </c>
      <c r="M1041" t="s">
        <v>68</v>
      </c>
      <c r="N1041" t="str">
        <f t="shared" si="133"/>
        <v>FOR</v>
      </c>
      <c r="O1041" t="s">
        <v>69</v>
      </c>
      <c r="P1041" t="s">
        <v>75</v>
      </c>
      <c r="Q1041">
        <v>2016</v>
      </c>
      <c r="R1041" s="4">
        <v>42551</v>
      </c>
      <c r="S1041" s="2">
        <v>42565</v>
      </c>
      <c r="T1041" s="2">
        <v>42564</v>
      </c>
      <c r="U1041" s="4">
        <v>42624</v>
      </c>
      <c r="V1041" t="s">
        <v>71</v>
      </c>
      <c r="W1041" t="str">
        <f>"          7680013052"</f>
        <v xml:space="preserve">          7680013052</v>
      </c>
      <c r="X1041" s="1">
        <v>137557.97</v>
      </c>
      <c r="Y1041" s="1">
        <v>-12505.27</v>
      </c>
      <c r="Z1041" s="5">
        <v>125052.7</v>
      </c>
      <c r="AA1041" s="3">
        <v>157</v>
      </c>
      <c r="AB1041" s="5">
        <v>19633273.899999999</v>
      </c>
      <c r="AC1041" s="1">
        <v>125052.7</v>
      </c>
      <c r="AD1041">
        <v>157</v>
      </c>
      <c r="AE1041" s="1">
        <v>19633273.899999999</v>
      </c>
      <c r="AF1041">
        <v>0</v>
      </c>
      <c r="AJ1041">
        <v>0</v>
      </c>
      <c r="AK1041">
        <v>0</v>
      </c>
      <c r="AL1041">
        <v>0</v>
      </c>
      <c r="AM1041">
        <v>0</v>
      </c>
      <c r="AN1041">
        <v>0</v>
      </c>
      <c r="AO1041">
        <v>0</v>
      </c>
      <c r="AP1041" s="2">
        <v>42831</v>
      </c>
      <c r="AQ1041" t="s">
        <v>72</v>
      </c>
      <c r="AR1041" t="s">
        <v>72</v>
      </c>
      <c r="AS1041">
        <v>459</v>
      </c>
      <c r="AT1041" s="4">
        <v>42781</v>
      </c>
      <c r="AU1041" t="s">
        <v>73</v>
      </c>
      <c r="AV1041">
        <v>459</v>
      </c>
      <c r="AW1041" s="4">
        <v>42781</v>
      </c>
      <c r="BD1041">
        <v>0</v>
      </c>
      <c r="BN1041" t="s">
        <v>74</v>
      </c>
    </row>
    <row r="1042" spans="1:66">
      <c r="A1042">
        <v>101336</v>
      </c>
      <c r="B1042" t="s">
        <v>266</v>
      </c>
      <c r="C1042" s="1">
        <v>43300101</v>
      </c>
      <c r="D1042" t="s">
        <v>67</v>
      </c>
      <c r="H1042" t="str">
        <f t="shared" si="135"/>
        <v>05351490965</v>
      </c>
      <c r="I1042" t="str">
        <f t="shared" si="135"/>
        <v>05351490965</v>
      </c>
      <c r="K1042" t="str">
        <f>""</f>
        <v/>
      </c>
      <c r="M1042" t="s">
        <v>68</v>
      </c>
      <c r="N1042" t="str">
        <f t="shared" si="133"/>
        <v>FOR</v>
      </c>
      <c r="O1042" t="s">
        <v>69</v>
      </c>
      <c r="P1042" t="s">
        <v>75</v>
      </c>
      <c r="Q1042">
        <v>2016</v>
      </c>
      <c r="R1042" s="4">
        <v>42551</v>
      </c>
      <c r="S1042" s="2">
        <v>42565</v>
      </c>
      <c r="T1042" s="2">
        <v>42564</v>
      </c>
      <c r="U1042" s="4">
        <v>42624</v>
      </c>
      <c r="V1042" t="s">
        <v>71</v>
      </c>
      <c r="W1042" t="str">
        <f>"          7680013053"</f>
        <v xml:space="preserve">          7680013053</v>
      </c>
      <c r="X1042" s="1">
        <v>5322.94</v>
      </c>
      <c r="Y1042">
        <v>0</v>
      </c>
      <c r="Z1042" s="5">
        <v>4839.04</v>
      </c>
      <c r="AA1042" s="3">
        <v>157</v>
      </c>
      <c r="AB1042" s="5">
        <v>759729.28</v>
      </c>
      <c r="AC1042" s="1">
        <v>4839.04</v>
      </c>
      <c r="AD1042">
        <v>157</v>
      </c>
      <c r="AE1042" s="1">
        <v>759729.28</v>
      </c>
      <c r="AF1042">
        <v>0</v>
      </c>
      <c r="AJ1042">
        <v>0</v>
      </c>
      <c r="AK1042">
        <v>0</v>
      </c>
      <c r="AL1042">
        <v>0</v>
      </c>
      <c r="AM1042">
        <v>0</v>
      </c>
      <c r="AN1042">
        <v>0</v>
      </c>
      <c r="AO1042">
        <v>0</v>
      </c>
      <c r="AP1042" s="2">
        <v>42831</v>
      </c>
      <c r="AQ1042" t="s">
        <v>72</v>
      </c>
      <c r="AR1042" t="s">
        <v>72</v>
      </c>
      <c r="AS1042">
        <v>459</v>
      </c>
      <c r="AT1042" s="4">
        <v>42781</v>
      </c>
      <c r="AU1042" t="s">
        <v>73</v>
      </c>
      <c r="AV1042">
        <v>459</v>
      </c>
      <c r="AW1042" s="4">
        <v>42781</v>
      </c>
      <c r="BD1042">
        <v>0</v>
      </c>
      <c r="BN1042" t="s">
        <v>74</v>
      </c>
    </row>
    <row r="1043" spans="1:66">
      <c r="A1043">
        <v>101336</v>
      </c>
      <c r="B1043" t="s">
        <v>266</v>
      </c>
      <c r="C1043" s="1">
        <v>43300101</v>
      </c>
      <c r="D1043" t="s">
        <v>67</v>
      </c>
      <c r="H1043" t="str">
        <f t="shared" si="135"/>
        <v>05351490965</v>
      </c>
      <c r="I1043" t="str">
        <f t="shared" si="135"/>
        <v>05351490965</v>
      </c>
      <c r="K1043" t="str">
        <f>""</f>
        <v/>
      </c>
      <c r="M1043" t="s">
        <v>68</v>
      </c>
      <c r="N1043" t="str">
        <f t="shared" si="133"/>
        <v>FOR</v>
      </c>
      <c r="O1043" t="s">
        <v>69</v>
      </c>
      <c r="P1043" t="s">
        <v>75</v>
      </c>
      <c r="Q1043">
        <v>2016</v>
      </c>
      <c r="R1043" s="4">
        <v>42582</v>
      </c>
      <c r="S1043" s="2">
        <v>42592</v>
      </c>
      <c r="T1043" s="2">
        <v>42592</v>
      </c>
      <c r="U1043" s="4">
        <v>42652</v>
      </c>
      <c r="V1043" t="s">
        <v>71</v>
      </c>
      <c r="W1043" t="str">
        <f>"          7680013921"</f>
        <v xml:space="preserve">          7680013921</v>
      </c>
      <c r="X1043">
        <v>925.58</v>
      </c>
      <c r="Y1043">
        <v>-84.14</v>
      </c>
      <c r="Z1043" s="5">
        <v>841.44</v>
      </c>
      <c r="AA1043" s="3">
        <v>144</v>
      </c>
      <c r="AB1043" s="5">
        <v>121167.36</v>
      </c>
      <c r="AC1043">
        <v>841.44</v>
      </c>
      <c r="AD1043">
        <v>144</v>
      </c>
      <c r="AE1043" s="1">
        <v>121167.36</v>
      </c>
      <c r="AF1043">
        <v>0</v>
      </c>
      <c r="AJ1043">
        <v>0</v>
      </c>
      <c r="AK1043">
        <v>0</v>
      </c>
      <c r="AL1043">
        <v>0</v>
      </c>
      <c r="AM1043">
        <v>0</v>
      </c>
      <c r="AN1043">
        <v>0</v>
      </c>
      <c r="AO1043">
        <v>0</v>
      </c>
      <c r="AP1043" s="2">
        <v>42831</v>
      </c>
      <c r="AQ1043" t="s">
        <v>72</v>
      </c>
      <c r="AR1043" t="s">
        <v>72</v>
      </c>
      <c r="AS1043">
        <v>689</v>
      </c>
      <c r="AT1043" s="4">
        <v>42796</v>
      </c>
      <c r="AU1043" t="s">
        <v>73</v>
      </c>
      <c r="AV1043">
        <v>689</v>
      </c>
      <c r="AW1043" s="4">
        <v>42796</v>
      </c>
      <c r="BD1043">
        <v>0</v>
      </c>
      <c r="BN1043" t="s">
        <v>74</v>
      </c>
    </row>
    <row r="1044" spans="1:66">
      <c r="A1044">
        <v>101336</v>
      </c>
      <c r="B1044" t="s">
        <v>266</v>
      </c>
      <c r="C1044" s="1">
        <v>43300101</v>
      </c>
      <c r="D1044" t="s">
        <v>67</v>
      </c>
      <c r="H1044" t="str">
        <f t="shared" si="135"/>
        <v>05351490965</v>
      </c>
      <c r="I1044" t="str">
        <f t="shared" si="135"/>
        <v>05351490965</v>
      </c>
      <c r="K1044" t="str">
        <f>""</f>
        <v/>
      </c>
      <c r="M1044" t="s">
        <v>68</v>
      </c>
      <c r="N1044" t="str">
        <f t="shared" si="133"/>
        <v>FOR</v>
      </c>
      <c r="O1044" t="s">
        <v>69</v>
      </c>
      <c r="P1044" t="s">
        <v>75</v>
      </c>
      <c r="Q1044">
        <v>2016</v>
      </c>
      <c r="R1044" s="4">
        <v>42582</v>
      </c>
      <c r="S1044" s="2">
        <v>42593</v>
      </c>
      <c r="T1044" s="2">
        <v>42592</v>
      </c>
      <c r="U1044" s="4">
        <v>42652</v>
      </c>
      <c r="V1044" t="s">
        <v>71</v>
      </c>
      <c r="W1044" t="str">
        <f>"          7680013922"</f>
        <v xml:space="preserve">          7680013922</v>
      </c>
      <c r="X1044" s="1">
        <v>2636.18</v>
      </c>
      <c r="Y1044">
        <v>0</v>
      </c>
      <c r="Z1044" s="5">
        <v>2534.79</v>
      </c>
      <c r="AA1044" s="3">
        <v>144</v>
      </c>
      <c r="AB1044" s="5">
        <v>365009.76</v>
      </c>
      <c r="AC1044" s="1">
        <v>2534.79</v>
      </c>
      <c r="AD1044">
        <v>144</v>
      </c>
      <c r="AE1044" s="1">
        <v>365009.76</v>
      </c>
      <c r="AF1044">
        <v>101.39</v>
      </c>
      <c r="AJ1044">
        <v>0</v>
      </c>
      <c r="AK1044">
        <v>0</v>
      </c>
      <c r="AL1044">
        <v>0</v>
      </c>
      <c r="AM1044">
        <v>0</v>
      </c>
      <c r="AN1044">
        <v>0</v>
      </c>
      <c r="AO1044">
        <v>0</v>
      </c>
      <c r="AP1044" s="2">
        <v>42831</v>
      </c>
      <c r="AQ1044" t="s">
        <v>72</v>
      </c>
      <c r="AR1044" t="s">
        <v>72</v>
      </c>
      <c r="AS1044">
        <v>689</v>
      </c>
      <c r="AT1044" s="4">
        <v>42796</v>
      </c>
      <c r="AU1044" t="s">
        <v>73</v>
      </c>
      <c r="AV1044">
        <v>689</v>
      </c>
      <c r="AW1044" s="4">
        <v>42796</v>
      </c>
      <c r="BC1044">
        <v>101.39</v>
      </c>
      <c r="BD1044">
        <v>0</v>
      </c>
      <c r="BN1044" t="s">
        <v>74</v>
      </c>
    </row>
    <row r="1045" spans="1:66">
      <c r="A1045">
        <v>101336</v>
      </c>
      <c r="B1045" t="s">
        <v>266</v>
      </c>
      <c r="C1045" s="1">
        <v>43300101</v>
      </c>
      <c r="D1045" t="s">
        <v>67</v>
      </c>
      <c r="H1045" t="str">
        <f t="shared" si="135"/>
        <v>05351490965</v>
      </c>
      <c r="I1045" t="str">
        <f t="shared" si="135"/>
        <v>05351490965</v>
      </c>
      <c r="K1045" t="str">
        <f>""</f>
        <v/>
      </c>
      <c r="M1045" t="s">
        <v>68</v>
      </c>
      <c r="N1045" t="str">
        <f t="shared" si="133"/>
        <v>FOR</v>
      </c>
      <c r="O1045" t="s">
        <v>69</v>
      </c>
      <c r="P1045" t="s">
        <v>75</v>
      </c>
      <c r="Q1045">
        <v>2016</v>
      </c>
      <c r="R1045" s="4">
        <v>42582</v>
      </c>
      <c r="S1045" s="2">
        <v>42592</v>
      </c>
      <c r="T1045" s="2">
        <v>42592</v>
      </c>
      <c r="U1045" s="4">
        <v>42652</v>
      </c>
      <c r="V1045" t="s">
        <v>71</v>
      </c>
      <c r="W1045" t="str">
        <f>"          7680013923"</f>
        <v xml:space="preserve">          7680013923</v>
      </c>
      <c r="X1045" s="1">
        <v>136433.45000000001</v>
      </c>
      <c r="Y1045" s="1">
        <v>-12403.04</v>
      </c>
      <c r="Z1045" s="5">
        <v>124030.41</v>
      </c>
      <c r="AA1045" s="3">
        <v>144</v>
      </c>
      <c r="AB1045" s="5">
        <v>17860379.039999999</v>
      </c>
      <c r="AC1045" s="1">
        <v>124030.41</v>
      </c>
      <c r="AD1045">
        <v>144</v>
      </c>
      <c r="AE1045" s="1">
        <v>17860379.039999999</v>
      </c>
      <c r="AF1045">
        <v>0</v>
      </c>
      <c r="AJ1045">
        <v>0</v>
      </c>
      <c r="AK1045">
        <v>0</v>
      </c>
      <c r="AL1045">
        <v>0</v>
      </c>
      <c r="AM1045">
        <v>0</v>
      </c>
      <c r="AN1045">
        <v>0</v>
      </c>
      <c r="AO1045">
        <v>0</v>
      </c>
      <c r="AP1045" s="2">
        <v>42831</v>
      </c>
      <c r="AQ1045" t="s">
        <v>72</v>
      </c>
      <c r="AR1045" t="s">
        <v>72</v>
      </c>
      <c r="AS1045">
        <v>689</v>
      </c>
      <c r="AT1045" s="4">
        <v>42796</v>
      </c>
      <c r="AU1045" t="s">
        <v>73</v>
      </c>
      <c r="AV1045">
        <v>689</v>
      </c>
      <c r="AW1045" s="4">
        <v>42796</v>
      </c>
      <c r="BD1045">
        <v>0</v>
      </c>
      <c r="BN1045" t="s">
        <v>74</v>
      </c>
    </row>
    <row r="1046" spans="1:66">
      <c r="A1046">
        <v>101336</v>
      </c>
      <c r="B1046" t="s">
        <v>266</v>
      </c>
      <c r="C1046" s="1">
        <v>43300101</v>
      </c>
      <c r="D1046" t="s">
        <v>67</v>
      </c>
      <c r="H1046" t="str">
        <f t="shared" si="135"/>
        <v>05351490965</v>
      </c>
      <c r="I1046" t="str">
        <f t="shared" si="135"/>
        <v>05351490965</v>
      </c>
      <c r="K1046" t="str">
        <f>""</f>
        <v/>
      </c>
      <c r="M1046" t="s">
        <v>68</v>
      </c>
      <c r="N1046" t="str">
        <f t="shared" si="133"/>
        <v>FOR</v>
      </c>
      <c r="O1046" t="s">
        <v>69</v>
      </c>
      <c r="P1046" t="s">
        <v>75</v>
      </c>
      <c r="Q1046">
        <v>2016</v>
      </c>
      <c r="R1046" s="4">
        <v>42582</v>
      </c>
      <c r="S1046" s="2">
        <v>42593</v>
      </c>
      <c r="T1046" s="2">
        <v>42592</v>
      </c>
      <c r="U1046" s="4">
        <v>42652</v>
      </c>
      <c r="V1046" t="s">
        <v>71</v>
      </c>
      <c r="W1046" t="str">
        <f>"          7680013924"</f>
        <v xml:space="preserve">          7680013924</v>
      </c>
      <c r="X1046" s="1">
        <v>5168.05</v>
      </c>
      <c r="Y1046">
        <v>0</v>
      </c>
      <c r="Z1046" s="5">
        <v>4698.2299999999996</v>
      </c>
      <c r="AA1046" s="3">
        <v>144</v>
      </c>
      <c r="AB1046" s="5">
        <v>676545.12</v>
      </c>
      <c r="AC1046" s="1">
        <v>4698.2299999999996</v>
      </c>
      <c r="AD1046">
        <v>144</v>
      </c>
      <c r="AE1046" s="1">
        <v>676545.12</v>
      </c>
      <c r="AF1046">
        <v>469.82</v>
      </c>
      <c r="AJ1046">
        <v>0</v>
      </c>
      <c r="AK1046">
        <v>0</v>
      </c>
      <c r="AL1046">
        <v>0</v>
      </c>
      <c r="AM1046">
        <v>0</v>
      </c>
      <c r="AN1046">
        <v>0</v>
      </c>
      <c r="AO1046">
        <v>0</v>
      </c>
      <c r="AP1046" s="2">
        <v>42831</v>
      </c>
      <c r="AQ1046" t="s">
        <v>72</v>
      </c>
      <c r="AR1046" t="s">
        <v>72</v>
      </c>
      <c r="AS1046">
        <v>689</v>
      </c>
      <c r="AT1046" s="4">
        <v>42796</v>
      </c>
      <c r="AU1046" t="s">
        <v>73</v>
      </c>
      <c r="AV1046">
        <v>689</v>
      </c>
      <c r="AW1046" s="4">
        <v>42796</v>
      </c>
      <c r="BC1046">
        <v>469.82</v>
      </c>
      <c r="BD1046">
        <v>0</v>
      </c>
      <c r="BN1046" t="s">
        <v>74</v>
      </c>
    </row>
    <row r="1047" spans="1:66">
      <c r="A1047">
        <v>101337</v>
      </c>
      <c r="B1047" t="s">
        <v>267</v>
      </c>
      <c r="C1047" s="1">
        <v>43300101</v>
      </c>
      <c r="D1047" t="s">
        <v>67</v>
      </c>
      <c r="H1047" t="str">
        <f>"05206041211"</f>
        <v>05206041211</v>
      </c>
      <c r="I1047" t="str">
        <f>"05206041211"</f>
        <v>05206041211</v>
      </c>
      <c r="K1047" t="str">
        <f>""</f>
        <v/>
      </c>
      <c r="M1047" t="s">
        <v>68</v>
      </c>
      <c r="N1047" t="str">
        <f t="shared" si="133"/>
        <v>FOR</v>
      </c>
      <c r="O1047" t="s">
        <v>69</v>
      </c>
      <c r="P1047" t="s">
        <v>75</v>
      </c>
      <c r="Q1047">
        <v>2016</v>
      </c>
      <c r="R1047" s="4">
        <v>42695</v>
      </c>
      <c r="S1047" s="2">
        <v>42702</v>
      </c>
      <c r="T1047" s="2">
        <v>42699</v>
      </c>
      <c r="U1047" s="4">
        <v>42759</v>
      </c>
      <c r="V1047" t="s">
        <v>71</v>
      </c>
      <c r="W1047" t="str">
        <f>"                143E"</f>
        <v xml:space="preserve">                143E</v>
      </c>
      <c r="X1047">
        <v>250.35</v>
      </c>
      <c r="Y1047">
        <v>0</v>
      </c>
      <c r="Z1047" s="5">
        <v>205.2</v>
      </c>
      <c r="AA1047" s="3">
        <v>9</v>
      </c>
      <c r="AB1047" s="5">
        <v>1846.8</v>
      </c>
      <c r="AC1047">
        <v>205.2</v>
      </c>
      <c r="AD1047">
        <v>9</v>
      </c>
      <c r="AE1047" s="1">
        <v>1846.8</v>
      </c>
      <c r="AF1047">
        <v>0</v>
      </c>
      <c r="AJ1047">
        <v>0</v>
      </c>
      <c r="AK1047">
        <v>0</v>
      </c>
      <c r="AL1047">
        <v>0</v>
      </c>
      <c r="AM1047">
        <v>0</v>
      </c>
      <c r="AN1047">
        <v>0</v>
      </c>
      <c r="AO1047">
        <v>0</v>
      </c>
      <c r="AP1047" s="2">
        <v>42831</v>
      </c>
      <c r="AQ1047" t="s">
        <v>72</v>
      </c>
      <c r="AR1047" t="s">
        <v>72</v>
      </c>
      <c r="AS1047">
        <v>283</v>
      </c>
      <c r="AT1047" s="4">
        <v>42768</v>
      </c>
      <c r="AU1047" t="s">
        <v>73</v>
      </c>
      <c r="AV1047">
        <v>283</v>
      </c>
      <c r="AW1047" s="4">
        <v>42768</v>
      </c>
      <c r="BD1047">
        <v>0</v>
      </c>
      <c r="BN1047" t="s">
        <v>74</v>
      </c>
    </row>
    <row r="1048" spans="1:66" hidden="1">
      <c r="A1048">
        <v>101343</v>
      </c>
      <c r="B1048" t="s">
        <v>268</v>
      </c>
      <c r="C1048" s="1">
        <v>43500101</v>
      </c>
      <c r="D1048" t="s">
        <v>98</v>
      </c>
      <c r="H1048" t="str">
        <f t="shared" ref="H1048:I1050" si="136">"01014411001"</f>
        <v>01014411001</v>
      </c>
      <c r="I1048" t="str">
        <f t="shared" si="136"/>
        <v>01014411001</v>
      </c>
      <c r="K1048" t="str">
        <f>""</f>
        <v/>
      </c>
      <c r="M1048" t="s">
        <v>68</v>
      </c>
      <c r="N1048" t="str">
        <f>"ALTFIN"</f>
        <v>ALTFIN</v>
      </c>
      <c r="O1048" t="s">
        <v>102</v>
      </c>
      <c r="P1048" t="s">
        <v>82</v>
      </c>
      <c r="Q1048">
        <v>2017</v>
      </c>
      <c r="R1048" s="4">
        <v>42755</v>
      </c>
      <c r="S1048" s="2">
        <v>42755</v>
      </c>
      <c r="T1048" s="2">
        <v>42755</v>
      </c>
      <c r="U1048" s="4">
        <v>42815</v>
      </c>
      <c r="V1048" t="s">
        <v>71</v>
      </c>
      <c r="W1048" t="str">
        <f>"                0120"</f>
        <v xml:space="preserve">                0120</v>
      </c>
      <c r="X1048">
        <v>0</v>
      </c>
      <c r="Y1048" s="1">
        <v>1765</v>
      </c>
      <c r="Z1048" s="5">
        <v>1765</v>
      </c>
      <c r="AA1048" s="3">
        <v>-57</v>
      </c>
      <c r="AB1048" s="5">
        <v>-100605</v>
      </c>
      <c r="AC1048" s="1">
        <v>1765</v>
      </c>
      <c r="AD1048">
        <v>-57</v>
      </c>
      <c r="AE1048" s="1">
        <v>-100605</v>
      </c>
      <c r="AF1048">
        <v>0</v>
      </c>
      <c r="AJ1048" s="1">
        <v>1765</v>
      </c>
      <c r="AK1048" s="1">
        <v>1765</v>
      </c>
      <c r="AL1048" s="1">
        <v>1765</v>
      </c>
      <c r="AM1048" s="1">
        <v>1765</v>
      </c>
      <c r="AN1048" s="1">
        <v>1765</v>
      </c>
      <c r="AO1048" s="1">
        <v>1765</v>
      </c>
      <c r="AP1048" s="2">
        <v>42831</v>
      </c>
      <c r="AQ1048" t="s">
        <v>72</v>
      </c>
      <c r="AR1048" t="s">
        <v>72</v>
      </c>
      <c r="AS1048">
        <v>41</v>
      </c>
      <c r="AT1048" s="4">
        <v>42758</v>
      </c>
      <c r="AV1048">
        <v>41</v>
      </c>
      <c r="AW1048" s="4">
        <v>42758</v>
      </c>
      <c r="BD1048">
        <v>0</v>
      </c>
      <c r="BN1048" t="s">
        <v>74</v>
      </c>
    </row>
    <row r="1049" spans="1:66" hidden="1">
      <c r="A1049">
        <v>101343</v>
      </c>
      <c r="B1049" t="s">
        <v>268</v>
      </c>
      <c r="C1049" s="1">
        <v>43500101</v>
      </c>
      <c r="D1049" t="s">
        <v>98</v>
      </c>
      <c r="H1049" t="str">
        <f t="shared" si="136"/>
        <v>01014411001</v>
      </c>
      <c r="I1049" t="str">
        <f t="shared" si="136"/>
        <v>01014411001</v>
      </c>
      <c r="K1049" t="str">
        <f>""</f>
        <v/>
      </c>
      <c r="M1049" t="s">
        <v>68</v>
      </c>
      <c r="N1049" t="str">
        <f>"ALTFIN"</f>
        <v>ALTFIN</v>
      </c>
      <c r="O1049" t="s">
        <v>102</v>
      </c>
      <c r="P1049" t="s">
        <v>83</v>
      </c>
      <c r="Q1049">
        <v>2017</v>
      </c>
      <c r="R1049" s="4">
        <v>42786</v>
      </c>
      <c r="S1049" s="2">
        <v>42787</v>
      </c>
      <c r="T1049" s="2">
        <v>42787</v>
      </c>
      <c r="U1049" s="4">
        <v>42847</v>
      </c>
      <c r="V1049" t="s">
        <v>71</v>
      </c>
      <c r="W1049" t="str">
        <f>"                0220"</f>
        <v xml:space="preserve">                0220</v>
      </c>
      <c r="X1049">
        <v>0</v>
      </c>
      <c r="Y1049" s="1">
        <v>1765</v>
      </c>
      <c r="Z1049" s="5">
        <v>1765</v>
      </c>
      <c r="AA1049" s="3">
        <v>-60</v>
      </c>
      <c r="AB1049" s="5">
        <v>-105900</v>
      </c>
      <c r="AC1049" s="1">
        <v>1765</v>
      </c>
      <c r="AD1049">
        <v>-60</v>
      </c>
      <c r="AE1049" s="1">
        <v>-105900</v>
      </c>
      <c r="AF1049">
        <v>0</v>
      </c>
      <c r="AJ1049" s="1">
        <v>1765</v>
      </c>
      <c r="AK1049" s="1">
        <v>1765</v>
      </c>
      <c r="AL1049" s="1">
        <v>1765</v>
      </c>
      <c r="AM1049" s="1">
        <v>1765</v>
      </c>
      <c r="AN1049" s="1">
        <v>1765</v>
      </c>
      <c r="AO1049" s="1">
        <v>1765</v>
      </c>
      <c r="AP1049" s="2">
        <v>42831</v>
      </c>
      <c r="AQ1049" t="s">
        <v>72</v>
      </c>
      <c r="AR1049" t="s">
        <v>72</v>
      </c>
      <c r="AS1049">
        <v>521</v>
      </c>
      <c r="AT1049" s="4">
        <v>42787</v>
      </c>
      <c r="AV1049">
        <v>521</v>
      </c>
      <c r="AW1049" s="4">
        <v>42787</v>
      </c>
      <c r="BD1049">
        <v>0</v>
      </c>
      <c r="BN1049" t="s">
        <v>74</v>
      </c>
    </row>
    <row r="1050" spans="1:66" hidden="1">
      <c r="A1050">
        <v>101343</v>
      </c>
      <c r="B1050" t="s">
        <v>268</v>
      </c>
      <c r="C1050" s="1">
        <v>43500101</v>
      </c>
      <c r="D1050" t="s">
        <v>98</v>
      </c>
      <c r="H1050" t="str">
        <f t="shared" si="136"/>
        <v>01014411001</v>
      </c>
      <c r="I1050" t="str">
        <f t="shared" si="136"/>
        <v>01014411001</v>
      </c>
      <c r="K1050" t="str">
        <f>""</f>
        <v/>
      </c>
      <c r="M1050" t="s">
        <v>68</v>
      </c>
      <c r="N1050" t="str">
        <f>"ALTFIN"</f>
        <v>ALTFIN</v>
      </c>
      <c r="O1050" t="s">
        <v>102</v>
      </c>
      <c r="P1050" t="s">
        <v>84</v>
      </c>
      <c r="Q1050">
        <v>2017</v>
      </c>
      <c r="R1050" s="4">
        <v>42815</v>
      </c>
      <c r="S1050" s="2">
        <v>42815</v>
      </c>
      <c r="T1050" s="2">
        <v>42815</v>
      </c>
      <c r="U1050" s="4">
        <v>42875</v>
      </c>
      <c r="V1050" t="s">
        <v>71</v>
      </c>
      <c r="W1050" t="str">
        <f>"                0321"</f>
        <v xml:space="preserve">                0321</v>
      </c>
      <c r="X1050">
        <v>0</v>
      </c>
      <c r="Y1050" s="1">
        <v>1765</v>
      </c>
      <c r="Z1050" s="5">
        <v>1765</v>
      </c>
      <c r="AA1050" s="3">
        <v>-60</v>
      </c>
      <c r="AB1050" s="5">
        <v>-105900</v>
      </c>
      <c r="AC1050" s="1">
        <v>1765</v>
      </c>
      <c r="AD1050">
        <v>-60</v>
      </c>
      <c r="AE1050" s="1">
        <v>-105900</v>
      </c>
      <c r="AF1050">
        <v>0</v>
      </c>
      <c r="AJ1050" s="1">
        <v>1765</v>
      </c>
      <c r="AK1050" s="1">
        <v>1765</v>
      </c>
      <c r="AL1050" s="1">
        <v>1765</v>
      </c>
      <c r="AM1050" s="1">
        <v>1765</v>
      </c>
      <c r="AN1050" s="1">
        <v>1765</v>
      </c>
      <c r="AO1050" s="1">
        <v>1765</v>
      </c>
      <c r="AP1050" s="2">
        <v>42831</v>
      </c>
      <c r="AQ1050" t="s">
        <v>72</v>
      </c>
      <c r="AR1050" t="s">
        <v>72</v>
      </c>
      <c r="AS1050">
        <v>818</v>
      </c>
      <c r="AT1050" s="4">
        <v>42815</v>
      </c>
      <c r="AV1050">
        <v>818</v>
      </c>
      <c r="AW1050" s="4">
        <v>42815</v>
      </c>
      <c r="BD1050">
        <v>0</v>
      </c>
      <c r="BN1050" t="s">
        <v>74</v>
      </c>
    </row>
    <row r="1051" spans="1:66">
      <c r="A1051">
        <v>101356</v>
      </c>
      <c r="B1051" t="s">
        <v>269</v>
      </c>
      <c r="C1051" s="1">
        <v>43300101</v>
      </c>
      <c r="D1051" t="s">
        <v>67</v>
      </c>
      <c r="H1051" t="str">
        <f t="shared" ref="H1051:H1056" si="137">"PNILRA46P47I441K"</f>
        <v>PNILRA46P47I441K</v>
      </c>
      <c r="I1051" t="str">
        <f t="shared" ref="I1051:I1056" si="138">"00567650122"</f>
        <v>00567650122</v>
      </c>
      <c r="K1051" t="str">
        <f>""</f>
        <v/>
      </c>
      <c r="M1051" t="s">
        <v>68</v>
      </c>
      <c r="N1051" t="str">
        <f t="shared" ref="N1051:N1056" si="139">"FOR"</f>
        <v>FOR</v>
      </c>
      <c r="O1051" t="s">
        <v>69</v>
      </c>
      <c r="P1051" t="s">
        <v>75</v>
      </c>
      <c r="Q1051">
        <v>2016</v>
      </c>
      <c r="R1051" s="4">
        <v>42460</v>
      </c>
      <c r="S1051" s="2">
        <v>42471</v>
      </c>
      <c r="T1051" s="2">
        <v>42471</v>
      </c>
      <c r="U1051" s="4">
        <v>42531</v>
      </c>
      <c r="V1051" t="s">
        <v>71</v>
      </c>
      <c r="W1051" t="str">
        <f>"             378/E16"</f>
        <v xml:space="preserve">             378/E16</v>
      </c>
      <c r="X1051">
        <v>618.91</v>
      </c>
      <c r="Y1051">
        <v>0</v>
      </c>
      <c r="Z1051" s="5">
        <v>507.3</v>
      </c>
      <c r="AA1051" s="3">
        <v>235</v>
      </c>
      <c r="AB1051" s="5">
        <v>119215.5</v>
      </c>
      <c r="AC1051">
        <v>507.3</v>
      </c>
      <c r="AD1051">
        <v>235</v>
      </c>
      <c r="AE1051" s="1">
        <v>119215.5</v>
      </c>
      <c r="AF1051">
        <v>0</v>
      </c>
      <c r="AJ1051">
        <v>0</v>
      </c>
      <c r="AK1051">
        <v>0</v>
      </c>
      <c r="AL1051">
        <v>0</v>
      </c>
      <c r="AM1051">
        <v>0</v>
      </c>
      <c r="AN1051">
        <v>0</v>
      </c>
      <c r="AO1051">
        <v>0</v>
      </c>
      <c r="AP1051" s="2">
        <v>42831</v>
      </c>
      <c r="AQ1051" t="s">
        <v>72</v>
      </c>
      <c r="AR1051" t="s">
        <v>72</v>
      </c>
      <c r="AS1051">
        <v>188</v>
      </c>
      <c r="AT1051" s="4">
        <v>42766</v>
      </c>
      <c r="AU1051" t="s">
        <v>73</v>
      </c>
      <c r="AV1051">
        <v>188</v>
      </c>
      <c r="AW1051" s="4">
        <v>42766</v>
      </c>
      <c r="BD1051">
        <v>0</v>
      </c>
      <c r="BN1051" t="s">
        <v>74</v>
      </c>
    </row>
    <row r="1052" spans="1:66">
      <c r="A1052">
        <v>101356</v>
      </c>
      <c r="B1052" t="s">
        <v>269</v>
      </c>
      <c r="C1052" s="1">
        <v>43300101</v>
      </c>
      <c r="D1052" t="s">
        <v>67</v>
      </c>
      <c r="H1052" t="str">
        <f t="shared" si="137"/>
        <v>PNILRA46P47I441K</v>
      </c>
      <c r="I1052" t="str">
        <f t="shared" si="138"/>
        <v>00567650122</v>
      </c>
      <c r="K1052" t="str">
        <f>""</f>
        <v/>
      </c>
      <c r="M1052" t="s">
        <v>68</v>
      </c>
      <c r="N1052" t="str">
        <f t="shared" si="139"/>
        <v>FOR</v>
      </c>
      <c r="O1052" t="s">
        <v>69</v>
      </c>
      <c r="P1052" t="s">
        <v>75</v>
      </c>
      <c r="Q1052">
        <v>2016</v>
      </c>
      <c r="R1052" s="4">
        <v>42488</v>
      </c>
      <c r="S1052" s="2">
        <v>42492</v>
      </c>
      <c r="T1052" s="2">
        <v>42489</v>
      </c>
      <c r="U1052" s="4">
        <v>42549</v>
      </c>
      <c r="V1052" t="s">
        <v>71</v>
      </c>
      <c r="W1052" t="str">
        <f>"             469/E16"</f>
        <v xml:space="preserve">             469/E16</v>
      </c>
      <c r="X1052">
        <v>156.77000000000001</v>
      </c>
      <c r="Y1052">
        <v>0</v>
      </c>
      <c r="Z1052" s="5">
        <v>128.5</v>
      </c>
      <c r="AA1052" s="3">
        <v>217</v>
      </c>
      <c r="AB1052" s="5">
        <v>27884.5</v>
      </c>
      <c r="AC1052">
        <v>128.5</v>
      </c>
      <c r="AD1052">
        <v>217</v>
      </c>
      <c r="AE1052" s="1">
        <v>27884.5</v>
      </c>
      <c r="AF1052">
        <v>0</v>
      </c>
      <c r="AJ1052">
        <v>0</v>
      </c>
      <c r="AK1052">
        <v>0</v>
      </c>
      <c r="AL1052">
        <v>0</v>
      </c>
      <c r="AM1052">
        <v>0</v>
      </c>
      <c r="AN1052">
        <v>0</v>
      </c>
      <c r="AO1052">
        <v>0</v>
      </c>
      <c r="AP1052" s="2">
        <v>42831</v>
      </c>
      <c r="AQ1052" t="s">
        <v>72</v>
      </c>
      <c r="AR1052" t="s">
        <v>72</v>
      </c>
      <c r="AS1052">
        <v>188</v>
      </c>
      <c r="AT1052" s="4">
        <v>42766</v>
      </c>
      <c r="AU1052" t="s">
        <v>73</v>
      </c>
      <c r="AV1052">
        <v>188</v>
      </c>
      <c r="AW1052" s="4">
        <v>42766</v>
      </c>
      <c r="BD1052">
        <v>0</v>
      </c>
      <c r="BN1052" t="s">
        <v>74</v>
      </c>
    </row>
    <row r="1053" spans="1:66">
      <c r="A1053">
        <v>101356</v>
      </c>
      <c r="B1053" t="s">
        <v>269</v>
      </c>
      <c r="C1053" s="1">
        <v>43300101</v>
      </c>
      <c r="D1053" t="s">
        <v>67</v>
      </c>
      <c r="H1053" t="str">
        <f t="shared" si="137"/>
        <v>PNILRA46P47I441K</v>
      </c>
      <c r="I1053" t="str">
        <f t="shared" si="138"/>
        <v>00567650122</v>
      </c>
      <c r="K1053" t="str">
        <f>""</f>
        <v/>
      </c>
      <c r="M1053" t="s">
        <v>68</v>
      </c>
      <c r="N1053" t="str">
        <f t="shared" si="139"/>
        <v>FOR</v>
      </c>
      <c r="O1053" t="s">
        <v>69</v>
      </c>
      <c r="P1053" t="s">
        <v>75</v>
      </c>
      <c r="Q1053">
        <v>2016</v>
      </c>
      <c r="R1053" s="4">
        <v>42490</v>
      </c>
      <c r="S1053" s="2">
        <v>42499</v>
      </c>
      <c r="T1053" s="2">
        <v>42499</v>
      </c>
      <c r="U1053" s="4">
        <v>42559</v>
      </c>
      <c r="V1053" t="s">
        <v>71</v>
      </c>
      <c r="W1053" t="str">
        <f>"             546/E16"</f>
        <v xml:space="preserve">             546/E16</v>
      </c>
      <c r="X1053">
        <v>303.66000000000003</v>
      </c>
      <c r="Y1053">
        <v>0</v>
      </c>
      <c r="Z1053" s="5">
        <v>248.9</v>
      </c>
      <c r="AA1053" s="3">
        <v>207</v>
      </c>
      <c r="AB1053" s="5">
        <v>51522.3</v>
      </c>
      <c r="AC1053">
        <v>248.9</v>
      </c>
      <c r="AD1053">
        <v>207</v>
      </c>
      <c r="AE1053" s="1">
        <v>51522.3</v>
      </c>
      <c r="AF1053">
        <v>0</v>
      </c>
      <c r="AJ1053">
        <v>0</v>
      </c>
      <c r="AK1053">
        <v>0</v>
      </c>
      <c r="AL1053">
        <v>0</v>
      </c>
      <c r="AM1053">
        <v>0</v>
      </c>
      <c r="AN1053">
        <v>0</v>
      </c>
      <c r="AO1053">
        <v>0</v>
      </c>
      <c r="AP1053" s="2">
        <v>42831</v>
      </c>
      <c r="AQ1053" t="s">
        <v>72</v>
      </c>
      <c r="AR1053" t="s">
        <v>72</v>
      </c>
      <c r="AS1053">
        <v>188</v>
      </c>
      <c r="AT1053" s="4">
        <v>42766</v>
      </c>
      <c r="AU1053" t="s">
        <v>73</v>
      </c>
      <c r="AV1053">
        <v>188</v>
      </c>
      <c r="AW1053" s="4">
        <v>42766</v>
      </c>
      <c r="BD1053">
        <v>0</v>
      </c>
      <c r="BN1053" t="s">
        <v>74</v>
      </c>
    </row>
    <row r="1054" spans="1:66">
      <c r="A1054">
        <v>101356</v>
      </c>
      <c r="B1054" t="s">
        <v>269</v>
      </c>
      <c r="C1054" s="1">
        <v>43300101</v>
      </c>
      <c r="D1054" t="s">
        <v>67</v>
      </c>
      <c r="H1054" t="str">
        <f t="shared" si="137"/>
        <v>PNILRA46P47I441K</v>
      </c>
      <c r="I1054" t="str">
        <f t="shared" si="138"/>
        <v>00567650122</v>
      </c>
      <c r="K1054" t="str">
        <f>""</f>
        <v/>
      </c>
      <c r="M1054" t="s">
        <v>68</v>
      </c>
      <c r="N1054" t="str">
        <f t="shared" si="139"/>
        <v>FOR</v>
      </c>
      <c r="O1054" t="s">
        <v>69</v>
      </c>
      <c r="P1054" t="s">
        <v>75</v>
      </c>
      <c r="Q1054">
        <v>2016</v>
      </c>
      <c r="R1054" s="4">
        <v>42521</v>
      </c>
      <c r="S1054" s="2">
        <v>42530</v>
      </c>
      <c r="T1054" s="2">
        <v>42530</v>
      </c>
      <c r="U1054" s="4">
        <v>42590</v>
      </c>
      <c r="V1054" t="s">
        <v>71</v>
      </c>
      <c r="W1054" t="str">
        <f>"             667/E16"</f>
        <v xml:space="preserve">             667/E16</v>
      </c>
      <c r="X1054">
        <v>301.33999999999997</v>
      </c>
      <c r="Y1054">
        <v>0</v>
      </c>
      <c r="Z1054" s="5">
        <v>247</v>
      </c>
      <c r="AA1054" s="3">
        <v>176</v>
      </c>
      <c r="AB1054" s="5">
        <v>43472</v>
      </c>
      <c r="AC1054">
        <v>247</v>
      </c>
      <c r="AD1054">
        <v>176</v>
      </c>
      <c r="AE1054" s="1">
        <v>43472</v>
      </c>
      <c r="AF1054">
        <v>0</v>
      </c>
      <c r="AJ1054">
        <v>0</v>
      </c>
      <c r="AK1054">
        <v>0</v>
      </c>
      <c r="AL1054">
        <v>0</v>
      </c>
      <c r="AM1054">
        <v>0</v>
      </c>
      <c r="AN1054">
        <v>0</v>
      </c>
      <c r="AO1054">
        <v>0</v>
      </c>
      <c r="AP1054" s="2">
        <v>42831</v>
      </c>
      <c r="AQ1054" t="s">
        <v>72</v>
      </c>
      <c r="AR1054" t="s">
        <v>72</v>
      </c>
      <c r="AS1054">
        <v>188</v>
      </c>
      <c r="AT1054" s="4">
        <v>42766</v>
      </c>
      <c r="AU1054" t="s">
        <v>73</v>
      </c>
      <c r="AV1054">
        <v>188</v>
      </c>
      <c r="AW1054" s="4">
        <v>42766</v>
      </c>
      <c r="BD1054">
        <v>0</v>
      </c>
      <c r="BN1054" t="s">
        <v>74</v>
      </c>
    </row>
    <row r="1055" spans="1:66">
      <c r="A1055">
        <v>101356</v>
      </c>
      <c r="B1055" t="s">
        <v>269</v>
      </c>
      <c r="C1055" s="1">
        <v>43300101</v>
      </c>
      <c r="D1055" t="s">
        <v>67</v>
      </c>
      <c r="H1055" t="str">
        <f t="shared" si="137"/>
        <v>PNILRA46P47I441K</v>
      </c>
      <c r="I1055" t="str">
        <f t="shared" si="138"/>
        <v>00567650122</v>
      </c>
      <c r="K1055" t="str">
        <f>""</f>
        <v/>
      </c>
      <c r="M1055" t="s">
        <v>68</v>
      </c>
      <c r="N1055" t="str">
        <f t="shared" si="139"/>
        <v>FOR</v>
      </c>
      <c r="O1055" t="s">
        <v>69</v>
      </c>
      <c r="P1055" t="s">
        <v>75</v>
      </c>
      <c r="Q1055">
        <v>2016</v>
      </c>
      <c r="R1055" s="4">
        <v>42551</v>
      </c>
      <c r="S1055" s="2">
        <v>42562</v>
      </c>
      <c r="T1055" s="2">
        <v>42558</v>
      </c>
      <c r="U1055" s="4">
        <v>42618</v>
      </c>
      <c r="V1055" t="s">
        <v>71</v>
      </c>
      <c r="W1055" t="str">
        <f>"             811/E16"</f>
        <v xml:space="preserve">             811/E16</v>
      </c>
      <c r="X1055">
        <v>311.77</v>
      </c>
      <c r="Y1055">
        <v>0</v>
      </c>
      <c r="Z1055" s="5">
        <v>255.55</v>
      </c>
      <c r="AA1055" s="3">
        <v>148</v>
      </c>
      <c r="AB1055" s="5">
        <v>37821.4</v>
      </c>
      <c r="AC1055">
        <v>255.55</v>
      </c>
      <c r="AD1055">
        <v>148</v>
      </c>
      <c r="AE1055" s="1">
        <v>37821.4</v>
      </c>
      <c r="AF1055">
        <v>0</v>
      </c>
      <c r="AJ1055">
        <v>0</v>
      </c>
      <c r="AK1055">
        <v>0</v>
      </c>
      <c r="AL1055">
        <v>0</v>
      </c>
      <c r="AM1055">
        <v>0</v>
      </c>
      <c r="AN1055">
        <v>0</v>
      </c>
      <c r="AO1055">
        <v>0</v>
      </c>
      <c r="AP1055" s="2">
        <v>42831</v>
      </c>
      <c r="AQ1055" t="s">
        <v>72</v>
      </c>
      <c r="AR1055" t="s">
        <v>72</v>
      </c>
      <c r="AS1055">
        <v>188</v>
      </c>
      <c r="AT1055" s="4">
        <v>42766</v>
      </c>
      <c r="AU1055" t="s">
        <v>73</v>
      </c>
      <c r="AV1055">
        <v>188</v>
      </c>
      <c r="AW1055" s="4">
        <v>42766</v>
      </c>
      <c r="BD1055">
        <v>0</v>
      </c>
      <c r="BN1055" t="s">
        <v>74</v>
      </c>
    </row>
    <row r="1056" spans="1:66">
      <c r="A1056">
        <v>101356</v>
      </c>
      <c r="B1056" t="s">
        <v>269</v>
      </c>
      <c r="C1056" s="1">
        <v>43300101</v>
      </c>
      <c r="D1056" t="s">
        <v>67</v>
      </c>
      <c r="H1056" t="str">
        <f t="shared" si="137"/>
        <v>PNILRA46P47I441K</v>
      </c>
      <c r="I1056" t="str">
        <f t="shared" si="138"/>
        <v>00567650122</v>
      </c>
      <c r="K1056" t="str">
        <f>""</f>
        <v/>
      </c>
      <c r="M1056" t="s">
        <v>68</v>
      </c>
      <c r="N1056" t="str">
        <f t="shared" si="139"/>
        <v>FOR</v>
      </c>
      <c r="O1056" t="s">
        <v>69</v>
      </c>
      <c r="P1056" t="s">
        <v>75</v>
      </c>
      <c r="Q1056">
        <v>2016</v>
      </c>
      <c r="R1056" s="4">
        <v>42580</v>
      </c>
      <c r="S1056" s="2">
        <v>42584</v>
      </c>
      <c r="T1056" s="2">
        <v>42583</v>
      </c>
      <c r="U1056" s="4">
        <v>42643</v>
      </c>
      <c r="V1056" t="s">
        <v>71</v>
      </c>
      <c r="W1056" t="str">
        <f>"             912/E16"</f>
        <v xml:space="preserve">             912/E16</v>
      </c>
      <c r="X1056">
        <v>142.13</v>
      </c>
      <c r="Y1056">
        <v>0</v>
      </c>
      <c r="Z1056" s="5">
        <v>116.5</v>
      </c>
      <c r="AA1056" s="3">
        <v>123</v>
      </c>
      <c r="AB1056" s="5">
        <v>14329.5</v>
      </c>
      <c r="AC1056">
        <v>116.5</v>
      </c>
      <c r="AD1056">
        <v>123</v>
      </c>
      <c r="AE1056" s="1">
        <v>14329.5</v>
      </c>
      <c r="AF1056">
        <v>0</v>
      </c>
      <c r="AJ1056">
        <v>0</v>
      </c>
      <c r="AK1056">
        <v>0</v>
      </c>
      <c r="AL1056">
        <v>0</v>
      </c>
      <c r="AM1056">
        <v>0</v>
      </c>
      <c r="AN1056">
        <v>0</v>
      </c>
      <c r="AO1056">
        <v>0</v>
      </c>
      <c r="AP1056" s="2">
        <v>42831</v>
      </c>
      <c r="AQ1056" t="s">
        <v>72</v>
      </c>
      <c r="AR1056" t="s">
        <v>72</v>
      </c>
      <c r="AS1056">
        <v>188</v>
      </c>
      <c r="AT1056" s="4">
        <v>42766</v>
      </c>
      <c r="AU1056" t="s">
        <v>73</v>
      </c>
      <c r="AV1056">
        <v>188</v>
      </c>
      <c r="AW1056" s="4">
        <v>42766</v>
      </c>
      <c r="BD1056">
        <v>0</v>
      </c>
      <c r="BN1056" t="s">
        <v>74</v>
      </c>
    </row>
    <row r="1057" spans="1:66">
      <c r="A1057">
        <v>101374</v>
      </c>
      <c r="B1057" t="s">
        <v>270</v>
      </c>
      <c r="C1057" s="1">
        <v>43500101</v>
      </c>
      <c r="D1057" t="s">
        <v>98</v>
      </c>
      <c r="H1057" t="str">
        <f>"PRILSN78H42F839S"</f>
        <v>PRILSN78H42F839S</v>
      </c>
      <c r="I1057" t="str">
        <f>"06711421211"</f>
        <v>06711421211</v>
      </c>
      <c r="K1057" t="str">
        <f>""</f>
        <v/>
      </c>
      <c r="M1057" t="s">
        <v>68</v>
      </c>
      <c r="N1057" t="str">
        <f>"ALTPRO"</f>
        <v>ALTPRO</v>
      </c>
      <c r="O1057" t="s">
        <v>116</v>
      </c>
      <c r="P1057" t="s">
        <v>75</v>
      </c>
      <c r="Q1057">
        <v>2017</v>
      </c>
      <c r="R1057" s="4">
        <v>42744</v>
      </c>
      <c r="S1057" s="2">
        <v>42747</v>
      </c>
      <c r="T1057" s="2">
        <v>42744</v>
      </c>
      <c r="U1057" s="4">
        <v>42804</v>
      </c>
      <c r="V1057" t="s">
        <v>71</v>
      </c>
      <c r="W1057" t="str">
        <f>"         FATTPA 1_17"</f>
        <v xml:space="preserve">         FATTPA 1_17</v>
      </c>
      <c r="X1057" s="1">
        <v>1425.87</v>
      </c>
      <c r="Y1057">
        <v>-285.17</v>
      </c>
      <c r="Z1057" s="5">
        <v>1140.7</v>
      </c>
      <c r="AA1057" s="3">
        <v>-39</v>
      </c>
      <c r="AB1057" s="5">
        <v>-44487.3</v>
      </c>
      <c r="AC1057" s="1">
        <v>1140.7</v>
      </c>
      <c r="AD1057">
        <v>-39</v>
      </c>
      <c r="AE1057" s="1">
        <v>-44487.3</v>
      </c>
      <c r="AF1057">
        <v>0</v>
      </c>
      <c r="AJ1057">
        <v>-285.17</v>
      </c>
      <c r="AK1057" s="1">
        <v>1140.7</v>
      </c>
      <c r="AL1057" s="1">
        <v>1140.7</v>
      </c>
      <c r="AM1057">
        <v>-285.17</v>
      </c>
      <c r="AN1057" s="1">
        <v>1140.7</v>
      </c>
      <c r="AO1057" s="1">
        <v>1140.7</v>
      </c>
      <c r="AP1057" s="2">
        <v>42831</v>
      </c>
      <c r="AQ1057" t="s">
        <v>72</v>
      </c>
      <c r="AR1057" t="s">
        <v>72</v>
      </c>
      <c r="AS1057">
        <v>127</v>
      </c>
      <c r="AT1057" s="4">
        <v>42765</v>
      </c>
      <c r="AV1057">
        <v>127</v>
      </c>
      <c r="AW1057" s="4">
        <v>42765</v>
      </c>
      <c r="BD1057">
        <v>0</v>
      </c>
      <c r="BN1057" t="s">
        <v>74</v>
      </c>
    </row>
    <row r="1058" spans="1:66">
      <c r="A1058">
        <v>101374</v>
      </c>
      <c r="B1058" t="s">
        <v>270</v>
      </c>
      <c r="C1058" s="1">
        <v>43500101</v>
      </c>
      <c r="D1058" t="s">
        <v>98</v>
      </c>
      <c r="H1058" t="str">
        <f>"PRILSN78H42F839S"</f>
        <v>PRILSN78H42F839S</v>
      </c>
      <c r="I1058" t="str">
        <f>"06711421211"</f>
        <v>06711421211</v>
      </c>
      <c r="K1058" t="str">
        <f>""</f>
        <v/>
      </c>
      <c r="M1058" t="s">
        <v>68</v>
      </c>
      <c r="N1058" t="str">
        <f>"ALTPRO"</f>
        <v>ALTPRO</v>
      </c>
      <c r="O1058" t="s">
        <v>116</v>
      </c>
      <c r="P1058" t="s">
        <v>75</v>
      </c>
      <c r="Q1058">
        <v>2017</v>
      </c>
      <c r="R1058" s="4">
        <v>42773</v>
      </c>
      <c r="S1058" s="2">
        <v>42774</v>
      </c>
      <c r="T1058" s="2">
        <v>42773</v>
      </c>
      <c r="U1058" s="4">
        <v>42833</v>
      </c>
      <c r="V1058" t="s">
        <v>71</v>
      </c>
      <c r="W1058" t="str">
        <f>"         FATTPA 2_17"</f>
        <v xml:space="preserve">         FATTPA 2_17</v>
      </c>
      <c r="X1058" s="1">
        <v>1825.07</v>
      </c>
      <c r="Y1058">
        <v>-365.01</v>
      </c>
      <c r="Z1058" s="5">
        <v>1460.06</v>
      </c>
      <c r="AA1058" s="3">
        <v>-57</v>
      </c>
      <c r="AB1058" s="5">
        <v>-83223.42</v>
      </c>
      <c r="AC1058" s="1">
        <v>1460.06</v>
      </c>
      <c r="AD1058">
        <v>-57</v>
      </c>
      <c r="AE1058" s="1">
        <v>-83223.42</v>
      </c>
      <c r="AF1058">
        <v>0</v>
      </c>
      <c r="AJ1058" s="1">
        <v>1460.06</v>
      </c>
      <c r="AK1058" s="1">
        <v>1460.06</v>
      </c>
      <c r="AL1058" s="1">
        <v>1460.06</v>
      </c>
      <c r="AM1058" s="1">
        <v>1460.06</v>
      </c>
      <c r="AN1058" s="1">
        <v>1460.06</v>
      </c>
      <c r="AO1058" s="1">
        <v>1460.06</v>
      </c>
      <c r="AP1058" s="2">
        <v>42831</v>
      </c>
      <c r="AQ1058" t="s">
        <v>72</v>
      </c>
      <c r="AR1058" t="s">
        <v>72</v>
      </c>
      <c r="AS1058">
        <v>400</v>
      </c>
      <c r="AT1058" s="4">
        <v>42776</v>
      </c>
      <c r="AV1058">
        <v>400</v>
      </c>
      <c r="AW1058" s="4">
        <v>42776</v>
      </c>
      <c r="BD1058">
        <v>0</v>
      </c>
      <c r="BN1058" t="s">
        <v>74</v>
      </c>
    </row>
    <row r="1059" spans="1:66">
      <c r="A1059">
        <v>101374</v>
      </c>
      <c r="B1059" t="s">
        <v>270</v>
      </c>
      <c r="C1059" s="1">
        <v>43500101</v>
      </c>
      <c r="D1059" t="s">
        <v>98</v>
      </c>
      <c r="H1059" t="str">
        <f>"PRILSN78H42F839S"</f>
        <v>PRILSN78H42F839S</v>
      </c>
      <c r="I1059" t="str">
        <f>"06711421211"</f>
        <v>06711421211</v>
      </c>
      <c r="K1059" t="str">
        <f>""</f>
        <v/>
      </c>
      <c r="M1059" t="s">
        <v>68</v>
      </c>
      <c r="N1059" t="str">
        <f>"ALTPRO"</f>
        <v>ALTPRO</v>
      </c>
      <c r="O1059" t="s">
        <v>116</v>
      </c>
      <c r="P1059" t="s">
        <v>75</v>
      </c>
      <c r="Q1059">
        <v>2017</v>
      </c>
      <c r="R1059" s="4">
        <v>42800</v>
      </c>
      <c r="S1059" s="2">
        <v>42801</v>
      </c>
      <c r="T1059" s="2">
        <v>42800</v>
      </c>
      <c r="U1059" s="4">
        <v>42860</v>
      </c>
      <c r="V1059" t="s">
        <v>71</v>
      </c>
      <c r="W1059" t="str">
        <f>"         FATTPA 3_17"</f>
        <v xml:space="preserve">         FATTPA 3_17</v>
      </c>
      <c r="X1059" s="1">
        <v>1889.75</v>
      </c>
      <c r="Y1059">
        <v>-377.95</v>
      </c>
      <c r="Z1059" s="5">
        <v>1511.8</v>
      </c>
      <c r="AA1059" s="3">
        <v>-57</v>
      </c>
      <c r="AB1059" s="5">
        <v>-86172.6</v>
      </c>
      <c r="AC1059" s="1">
        <v>1511.8</v>
      </c>
      <c r="AD1059">
        <v>-57</v>
      </c>
      <c r="AE1059" s="1">
        <v>-86172.6</v>
      </c>
      <c r="AF1059">
        <v>0</v>
      </c>
      <c r="AJ1059" s="1">
        <v>1511.8</v>
      </c>
      <c r="AK1059" s="1">
        <v>1511.8</v>
      </c>
      <c r="AL1059" s="1">
        <v>1511.8</v>
      </c>
      <c r="AM1059" s="1">
        <v>1511.8</v>
      </c>
      <c r="AN1059" s="1">
        <v>1511.8</v>
      </c>
      <c r="AO1059" s="1">
        <v>1511.8</v>
      </c>
      <c r="AP1059" s="2">
        <v>42831</v>
      </c>
      <c r="AQ1059" t="s">
        <v>72</v>
      </c>
      <c r="AR1059" t="s">
        <v>72</v>
      </c>
      <c r="AS1059">
        <v>752</v>
      </c>
      <c r="AT1059" s="4">
        <v>42803</v>
      </c>
      <c r="AV1059">
        <v>752</v>
      </c>
      <c r="AW1059" s="4">
        <v>42803</v>
      </c>
      <c r="BD1059">
        <v>0</v>
      </c>
      <c r="BN1059" t="s">
        <v>74</v>
      </c>
    </row>
    <row r="1060" spans="1:66">
      <c r="A1060">
        <v>101376</v>
      </c>
      <c r="B1060" t="s">
        <v>271</v>
      </c>
      <c r="C1060" s="1">
        <v>43300101</v>
      </c>
      <c r="D1060" t="s">
        <v>67</v>
      </c>
      <c r="H1060" t="str">
        <f>"06655971007"</f>
        <v>06655971007</v>
      </c>
      <c r="I1060" t="str">
        <f>"06655971007"</f>
        <v>06655971007</v>
      </c>
      <c r="K1060" t="str">
        <f>""</f>
        <v/>
      </c>
      <c r="M1060" t="s">
        <v>68</v>
      </c>
      <c r="N1060" t="str">
        <f>"FOR"</f>
        <v>FOR</v>
      </c>
      <c r="O1060" t="s">
        <v>69</v>
      </c>
      <c r="P1060" t="s">
        <v>75</v>
      </c>
      <c r="Q1060">
        <v>2016</v>
      </c>
      <c r="R1060" s="4">
        <v>42628</v>
      </c>
      <c r="S1060" s="2">
        <v>42632</v>
      </c>
      <c r="T1060" s="2">
        <v>42629</v>
      </c>
      <c r="U1060" s="4">
        <v>42689</v>
      </c>
      <c r="V1060" t="s">
        <v>71</v>
      </c>
      <c r="W1060" t="str">
        <f>"        004701221472"</f>
        <v xml:space="preserve">        004701221472</v>
      </c>
      <c r="X1060" s="1">
        <v>213493.22</v>
      </c>
      <c r="Y1060" s="1">
        <v>-38498.78</v>
      </c>
      <c r="Z1060" s="5">
        <v>174994.44</v>
      </c>
      <c r="AA1060" s="3">
        <v>83</v>
      </c>
      <c r="AB1060" s="5">
        <v>14524538.52</v>
      </c>
      <c r="AC1060" s="1">
        <v>174994.44</v>
      </c>
      <c r="AD1060">
        <v>83</v>
      </c>
      <c r="AE1060" s="1">
        <v>14524538.52</v>
      </c>
      <c r="AF1060">
        <v>0</v>
      </c>
      <c r="AJ1060">
        <v>0</v>
      </c>
      <c r="AK1060">
        <v>0</v>
      </c>
      <c r="AL1060">
        <v>0</v>
      </c>
      <c r="AM1060">
        <v>0</v>
      </c>
      <c r="AN1060">
        <v>0</v>
      </c>
      <c r="AO1060">
        <v>0</v>
      </c>
      <c r="AP1060" s="2">
        <v>42831</v>
      </c>
      <c r="AQ1060" t="s">
        <v>72</v>
      </c>
      <c r="AR1060" t="s">
        <v>72</v>
      </c>
      <c r="AS1060">
        <v>305</v>
      </c>
      <c r="AT1060" s="4">
        <v>42772</v>
      </c>
      <c r="AU1060" t="s">
        <v>73</v>
      </c>
      <c r="AV1060">
        <v>305</v>
      </c>
      <c r="AW1060" s="4">
        <v>42772</v>
      </c>
      <c r="BD1060">
        <v>0</v>
      </c>
      <c r="BN1060" t="s">
        <v>74</v>
      </c>
    </row>
    <row r="1061" spans="1:66">
      <c r="A1061">
        <v>101376</v>
      </c>
      <c r="B1061" t="s">
        <v>271</v>
      </c>
      <c r="C1061" s="1">
        <v>43300101</v>
      </c>
      <c r="D1061" t="s">
        <v>67</v>
      </c>
      <c r="H1061" t="str">
        <f>"06655971007"</f>
        <v>06655971007</v>
      </c>
      <c r="I1061" t="str">
        <f>"06655971007"</f>
        <v>06655971007</v>
      </c>
      <c r="K1061" t="str">
        <f>""</f>
        <v/>
      </c>
      <c r="M1061" t="s">
        <v>68</v>
      </c>
      <c r="N1061" t="str">
        <f>"FOR"</f>
        <v>FOR</v>
      </c>
      <c r="O1061" t="s">
        <v>69</v>
      </c>
      <c r="P1061" t="s">
        <v>75</v>
      </c>
      <c r="Q1061">
        <v>2017</v>
      </c>
      <c r="R1061" s="4">
        <v>42750</v>
      </c>
      <c r="S1061" s="2">
        <v>42752</v>
      </c>
      <c r="T1061" s="2">
        <v>42752</v>
      </c>
      <c r="U1061" s="4">
        <v>42812</v>
      </c>
      <c r="V1061" t="s">
        <v>71</v>
      </c>
      <c r="W1061" t="str">
        <f>"        004800084852"</f>
        <v xml:space="preserve">        004800084852</v>
      </c>
      <c r="X1061" s="1">
        <v>170044.31</v>
      </c>
      <c r="Y1061" s="1">
        <v>-30663.73</v>
      </c>
      <c r="Z1061" s="5">
        <v>139380.57999999999</v>
      </c>
      <c r="AA1061" s="3">
        <v>-15</v>
      </c>
      <c r="AB1061" s="5">
        <v>-2090708.7</v>
      </c>
      <c r="AC1061" s="1">
        <v>139380.57999999999</v>
      </c>
      <c r="AD1061">
        <v>-15</v>
      </c>
      <c r="AE1061" s="1">
        <v>-2090708.7</v>
      </c>
      <c r="AF1061">
        <v>0</v>
      </c>
      <c r="AJ1061" s="1">
        <v>-30663.73</v>
      </c>
      <c r="AK1061" s="1">
        <v>139380.57999999999</v>
      </c>
      <c r="AL1061" s="1">
        <v>139380.57999999999</v>
      </c>
      <c r="AM1061" s="1">
        <v>-30663.73</v>
      </c>
      <c r="AN1061" s="1">
        <v>139380.57999999999</v>
      </c>
      <c r="AO1061" s="1">
        <v>139380.57999999999</v>
      </c>
      <c r="AP1061" s="2">
        <v>42831</v>
      </c>
      <c r="AQ1061" t="s">
        <v>72</v>
      </c>
      <c r="AR1061" t="s">
        <v>72</v>
      </c>
      <c r="AS1061">
        <v>700</v>
      </c>
      <c r="AT1061" s="4">
        <v>42797</v>
      </c>
      <c r="AV1061">
        <v>700</v>
      </c>
      <c r="AW1061" s="4">
        <v>42797</v>
      </c>
      <c r="BD1061">
        <v>0</v>
      </c>
      <c r="BN1061" t="s">
        <v>74</v>
      </c>
    </row>
    <row r="1062" spans="1:66">
      <c r="A1062">
        <v>101389</v>
      </c>
      <c r="B1062" t="s">
        <v>272</v>
      </c>
      <c r="C1062" s="1">
        <v>43500101</v>
      </c>
      <c r="D1062" t="s">
        <v>98</v>
      </c>
      <c r="H1062" t="str">
        <f>"RSSNTN71R23C129I"</f>
        <v>RSSNTN71R23C129I</v>
      </c>
      <c r="I1062" t="str">
        <f>"06484431215"</f>
        <v>06484431215</v>
      </c>
      <c r="K1062" t="str">
        <f>""</f>
        <v/>
      </c>
      <c r="M1062" t="s">
        <v>68</v>
      </c>
      <c r="N1062" t="str">
        <f t="shared" ref="N1062:N1067" si="140">"ALTPRO"</f>
        <v>ALTPRO</v>
      </c>
      <c r="O1062" t="s">
        <v>116</v>
      </c>
      <c r="P1062" t="s">
        <v>75</v>
      </c>
      <c r="Q1062">
        <v>2017</v>
      </c>
      <c r="R1062" s="4">
        <v>42745</v>
      </c>
      <c r="S1062" s="2">
        <v>42747</v>
      </c>
      <c r="T1062" s="2">
        <v>42745</v>
      </c>
      <c r="U1062" s="4">
        <v>42805</v>
      </c>
      <c r="V1062" t="s">
        <v>71</v>
      </c>
      <c r="W1062" t="str">
        <f>"         FATTPA 1_17"</f>
        <v xml:space="preserve">         FATTPA 1_17</v>
      </c>
      <c r="X1062" s="1">
        <v>2634</v>
      </c>
      <c r="Y1062">
        <v>-526.79999999999995</v>
      </c>
      <c r="Z1062" s="5">
        <v>2107.1999999999998</v>
      </c>
      <c r="AA1062" s="3">
        <v>-40</v>
      </c>
      <c r="AB1062" s="5">
        <v>-84288</v>
      </c>
      <c r="AC1062" s="1">
        <v>2107.1999999999998</v>
      </c>
      <c r="AD1062">
        <v>-40</v>
      </c>
      <c r="AE1062" s="1">
        <v>-84288</v>
      </c>
      <c r="AF1062">
        <v>0</v>
      </c>
      <c r="AJ1062">
        <v>-526.79999999999995</v>
      </c>
      <c r="AK1062" s="1">
        <v>2107.1999999999998</v>
      </c>
      <c r="AL1062" s="1">
        <v>2107.1999999999998</v>
      </c>
      <c r="AM1062">
        <v>-526.79999999999995</v>
      </c>
      <c r="AN1062" s="1">
        <v>2107.1999999999998</v>
      </c>
      <c r="AO1062" s="1">
        <v>2107.1999999999998</v>
      </c>
      <c r="AP1062" s="2">
        <v>42831</v>
      </c>
      <c r="AQ1062" t="s">
        <v>72</v>
      </c>
      <c r="AR1062" t="s">
        <v>72</v>
      </c>
      <c r="AS1062">
        <v>126</v>
      </c>
      <c r="AT1062" s="4">
        <v>42765</v>
      </c>
      <c r="AV1062">
        <v>126</v>
      </c>
      <c r="AW1062" s="4">
        <v>42765</v>
      </c>
      <c r="BD1062">
        <v>0</v>
      </c>
      <c r="BN1062" t="s">
        <v>74</v>
      </c>
    </row>
    <row r="1063" spans="1:66">
      <c r="A1063">
        <v>101389</v>
      </c>
      <c r="B1063" t="s">
        <v>272</v>
      </c>
      <c r="C1063" s="1">
        <v>43500101</v>
      </c>
      <c r="D1063" t="s">
        <v>98</v>
      </c>
      <c r="H1063" t="str">
        <f>"RSSNTN71R23C129I"</f>
        <v>RSSNTN71R23C129I</v>
      </c>
      <c r="I1063" t="str">
        <f>"06484431215"</f>
        <v>06484431215</v>
      </c>
      <c r="K1063" t="str">
        <f>""</f>
        <v/>
      </c>
      <c r="M1063" t="s">
        <v>68</v>
      </c>
      <c r="N1063" t="str">
        <f t="shared" si="140"/>
        <v>ALTPRO</v>
      </c>
      <c r="O1063" t="s">
        <v>116</v>
      </c>
      <c r="P1063" t="s">
        <v>75</v>
      </c>
      <c r="Q1063">
        <v>2017</v>
      </c>
      <c r="R1063" s="4">
        <v>42773</v>
      </c>
      <c r="S1063" s="2">
        <v>42774</v>
      </c>
      <c r="T1063" s="2">
        <v>42773</v>
      </c>
      <c r="U1063" s="4">
        <v>42833</v>
      </c>
      <c r="V1063" t="s">
        <v>71</v>
      </c>
      <c r="W1063" t="str">
        <f>"         FATTPA 2_17"</f>
        <v xml:space="preserve">         FATTPA 2_17</v>
      </c>
      <c r="X1063" s="1">
        <v>2634</v>
      </c>
      <c r="Y1063">
        <v>-526.79999999999995</v>
      </c>
      <c r="Z1063" s="5">
        <v>2107.1999999999998</v>
      </c>
      <c r="AA1063" s="3">
        <v>-57</v>
      </c>
      <c r="AB1063" s="5">
        <v>-120110.39999999999</v>
      </c>
      <c r="AC1063" s="1">
        <v>2107.1999999999998</v>
      </c>
      <c r="AD1063">
        <v>-57</v>
      </c>
      <c r="AE1063" s="1">
        <v>-120110.39999999999</v>
      </c>
      <c r="AF1063">
        <v>0</v>
      </c>
      <c r="AJ1063" s="1">
        <v>2107.1999999999998</v>
      </c>
      <c r="AK1063" s="1">
        <v>2107.1999999999998</v>
      </c>
      <c r="AL1063" s="1">
        <v>2107.1999999999998</v>
      </c>
      <c r="AM1063" s="1">
        <v>2107.1999999999998</v>
      </c>
      <c r="AN1063" s="1">
        <v>2107.1999999999998</v>
      </c>
      <c r="AO1063" s="1">
        <v>2107.1999999999998</v>
      </c>
      <c r="AP1063" s="2">
        <v>42831</v>
      </c>
      <c r="AQ1063" t="s">
        <v>72</v>
      </c>
      <c r="AR1063" t="s">
        <v>72</v>
      </c>
      <c r="AS1063">
        <v>399</v>
      </c>
      <c r="AT1063" s="4">
        <v>42776</v>
      </c>
      <c r="AV1063">
        <v>399</v>
      </c>
      <c r="AW1063" s="4">
        <v>42776</v>
      </c>
      <c r="BD1063">
        <v>0</v>
      </c>
      <c r="BN1063" t="s">
        <v>74</v>
      </c>
    </row>
    <row r="1064" spans="1:66">
      <c r="A1064">
        <v>101389</v>
      </c>
      <c r="B1064" t="s">
        <v>272</v>
      </c>
      <c r="C1064" s="1">
        <v>43500101</v>
      </c>
      <c r="D1064" t="s">
        <v>98</v>
      </c>
      <c r="H1064" t="str">
        <f>"RSSNTN71R23C129I"</f>
        <v>RSSNTN71R23C129I</v>
      </c>
      <c r="I1064" t="str">
        <f>"06484431215"</f>
        <v>06484431215</v>
      </c>
      <c r="K1064" t="str">
        <f>""</f>
        <v/>
      </c>
      <c r="M1064" t="s">
        <v>68</v>
      </c>
      <c r="N1064" t="str">
        <f t="shared" si="140"/>
        <v>ALTPRO</v>
      </c>
      <c r="O1064" t="s">
        <v>116</v>
      </c>
      <c r="P1064" t="s">
        <v>75</v>
      </c>
      <c r="Q1064">
        <v>2017</v>
      </c>
      <c r="R1064" s="4">
        <v>42796</v>
      </c>
      <c r="S1064" s="2">
        <v>42796</v>
      </c>
      <c r="T1064" s="2">
        <v>42796</v>
      </c>
      <c r="U1064" s="4">
        <v>42856</v>
      </c>
      <c r="V1064" t="s">
        <v>71</v>
      </c>
      <c r="W1064" t="str">
        <f>"         FATTPA 3_17"</f>
        <v xml:space="preserve">         FATTPA 3_17</v>
      </c>
      <c r="X1064" s="1">
        <v>2528.64</v>
      </c>
      <c r="Y1064">
        <v>-505.73</v>
      </c>
      <c r="Z1064" s="5">
        <v>2022.91</v>
      </c>
      <c r="AA1064" s="3">
        <v>-59</v>
      </c>
      <c r="AB1064" s="5">
        <v>-119351.69</v>
      </c>
      <c r="AC1064" s="1">
        <v>2022.91</v>
      </c>
      <c r="AD1064">
        <v>-59</v>
      </c>
      <c r="AE1064" s="1">
        <v>-119351.69</v>
      </c>
      <c r="AF1064">
        <v>0</v>
      </c>
      <c r="AJ1064" s="1">
        <v>2022.91</v>
      </c>
      <c r="AK1064" s="1">
        <v>2022.91</v>
      </c>
      <c r="AL1064" s="1">
        <v>2022.91</v>
      </c>
      <c r="AM1064" s="1">
        <v>2022.91</v>
      </c>
      <c r="AN1064" s="1">
        <v>2022.91</v>
      </c>
      <c r="AO1064" s="1">
        <v>2022.91</v>
      </c>
      <c r="AP1064" s="2">
        <v>42831</v>
      </c>
      <c r="AQ1064" t="s">
        <v>72</v>
      </c>
      <c r="AR1064" t="s">
        <v>72</v>
      </c>
      <c r="AS1064">
        <v>729</v>
      </c>
      <c r="AT1064" s="4">
        <v>42797</v>
      </c>
      <c r="AV1064">
        <v>729</v>
      </c>
      <c r="AW1064" s="4">
        <v>42797</v>
      </c>
      <c r="BD1064">
        <v>0</v>
      </c>
      <c r="BN1064" t="s">
        <v>74</v>
      </c>
    </row>
    <row r="1065" spans="1:66">
      <c r="A1065">
        <v>101397</v>
      </c>
      <c r="B1065" t="s">
        <v>273</v>
      </c>
      <c r="C1065" s="1">
        <v>43500101</v>
      </c>
      <c r="D1065" t="s">
        <v>98</v>
      </c>
      <c r="H1065" t="str">
        <f>"TRVNGL75P69G812H"</f>
        <v>TRVNGL75P69G812H</v>
      </c>
      <c r="I1065" t="str">
        <f>"05859251216"</f>
        <v>05859251216</v>
      </c>
      <c r="K1065" t="str">
        <f>""</f>
        <v/>
      </c>
      <c r="M1065" t="s">
        <v>68</v>
      </c>
      <c r="N1065" t="str">
        <f t="shared" si="140"/>
        <v>ALTPRO</v>
      </c>
      <c r="O1065" t="s">
        <v>116</v>
      </c>
      <c r="P1065" t="s">
        <v>75</v>
      </c>
      <c r="Q1065">
        <v>2017</v>
      </c>
      <c r="R1065" s="4">
        <v>42739</v>
      </c>
      <c r="S1065" s="2">
        <v>42747</v>
      </c>
      <c r="T1065" s="2">
        <v>42745</v>
      </c>
      <c r="U1065" s="4">
        <v>42805</v>
      </c>
      <c r="V1065" t="s">
        <v>71</v>
      </c>
      <c r="W1065" t="str">
        <f>"         FATTPA 1_17"</f>
        <v xml:space="preserve">         FATTPA 1_17</v>
      </c>
      <c r="X1065" s="1">
        <v>2446.11</v>
      </c>
      <c r="Y1065">
        <v>-489.22</v>
      </c>
      <c r="Z1065" s="5">
        <v>1956.89</v>
      </c>
      <c r="AA1065" s="3">
        <v>-40</v>
      </c>
      <c r="AB1065" s="5">
        <v>-78275.600000000006</v>
      </c>
      <c r="AC1065" s="1">
        <v>1956.89</v>
      </c>
      <c r="AD1065">
        <v>-40</v>
      </c>
      <c r="AE1065" s="1">
        <v>-78275.600000000006</v>
      </c>
      <c r="AF1065">
        <v>0</v>
      </c>
      <c r="AJ1065">
        <v>-489.22</v>
      </c>
      <c r="AK1065" s="1">
        <v>1956.89</v>
      </c>
      <c r="AL1065" s="1">
        <v>1956.89</v>
      </c>
      <c r="AM1065">
        <v>-489.22</v>
      </c>
      <c r="AN1065" s="1">
        <v>1956.89</v>
      </c>
      <c r="AO1065" s="1">
        <v>1956.89</v>
      </c>
      <c r="AP1065" s="2">
        <v>42831</v>
      </c>
      <c r="AQ1065" t="s">
        <v>72</v>
      </c>
      <c r="AR1065" t="s">
        <v>72</v>
      </c>
      <c r="AS1065">
        <v>125</v>
      </c>
      <c r="AT1065" s="4">
        <v>42765</v>
      </c>
      <c r="AV1065">
        <v>125</v>
      </c>
      <c r="AW1065" s="4">
        <v>42765</v>
      </c>
      <c r="BD1065">
        <v>0</v>
      </c>
      <c r="BN1065" t="s">
        <v>74</v>
      </c>
    </row>
    <row r="1066" spans="1:66">
      <c r="A1066">
        <v>101397</v>
      </c>
      <c r="B1066" t="s">
        <v>273</v>
      </c>
      <c r="C1066" s="1">
        <v>43500101</v>
      </c>
      <c r="D1066" t="s">
        <v>98</v>
      </c>
      <c r="H1066" t="str">
        <f>"TRVNGL75P69G812H"</f>
        <v>TRVNGL75P69G812H</v>
      </c>
      <c r="I1066" t="str">
        <f>"05859251216"</f>
        <v>05859251216</v>
      </c>
      <c r="K1066" t="str">
        <f>""</f>
        <v/>
      </c>
      <c r="M1066" t="s">
        <v>68</v>
      </c>
      <c r="N1066" t="str">
        <f t="shared" si="140"/>
        <v>ALTPRO</v>
      </c>
      <c r="O1066" t="s">
        <v>116</v>
      </c>
      <c r="P1066" t="s">
        <v>75</v>
      </c>
      <c r="Q1066">
        <v>2017</v>
      </c>
      <c r="R1066" s="4">
        <v>42774</v>
      </c>
      <c r="S1066" s="2">
        <v>42775</v>
      </c>
      <c r="T1066" s="2">
        <v>42774</v>
      </c>
      <c r="U1066" s="4">
        <v>42834</v>
      </c>
      <c r="V1066" t="s">
        <v>71</v>
      </c>
      <c r="W1066" t="str">
        <f>"         FATTPA 2_17"</f>
        <v xml:space="preserve">         FATTPA 2_17</v>
      </c>
      <c r="X1066" s="1">
        <v>2634</v>
      </c>
      <c r="Y1066">
        <v>-526.79999999999995</v>
      </c>
      <c r="Z1066" s="5">
        <v>2107.1999999999998</v>
      </c>
      <c r="AA1066" s="3">
        <v>-58</v>
      </c>
      <c r="AB1066" s="5">
        <v>-122217.60000000001</v>
      </c>
      <c r="AC1066" s="1">
        <v>2107.1999999999998</v>
      </c>
      <c r="AD1066">
        <v>-58</v>
      </c>
      <c r="AE1066" s="1">
        <v>-122217.60000000001</v>
      </c>
      <c r="AF1066">
        <v>0</v>
      </c>
      <c r="AJ1066" s="1">
        <v>2107.1999999999998</v>
      </c>
      <c r="AK1066" s="1">
        <v>2107.1999999999998</v>
      </c>
      <c r="AL1066" s="1">
        <v>2107.1999999999998</v>
      </c>
      <c r="AM1066" s="1">
        <v>2107.1999999999998</v>
      </c>
      <c r="AN1066" s="1">
        <v>2107.1999999999998</v>
      </c>
      <c r="AO1066" s="1">
        <v>2107.1999999999998</v>
      </c>
      <c r="AP1066" s="2">
        <v>42831</v>
      </c>
      <c r="AQ1066" t="s">
        <v>72</v>
      </c>
      <c r="AR1066" t="s">
        <v>72</v>
      </c>
      <c r="AS1066">
        <v>398</v>
      </c>
      <c r="AT1066" s="4">
        <v>42776</v>
      </c>
      <c r="AV1066">
        <v>398</v>
      </c>
      <c r="AW1066" s="4">
        <v>42776</v>
      </c>
      <c r="BD1066">
        <v>0</v>
      </c>
      <c r="BN1066" t="s">
        <v>74</v>
      </c>
    </row>
    <row r="1067" spans="1:66">
      <c r="A1067">
        <v>101397</v>
      </c>
      <c r="B1067" t="s">
        <v>273</v>
      </c>
      <c r="C1067" s="1">
        <v>43500101</v>
      </c>
      <c r="D1067" t="s">
        <v>98</v>
      </c>
      <c r="H1067" t="str">
        <f>"TRVNGL75P69G812H"</f>
        <v>TRVNGL75P69G812H</v>
      </c>
      <c r="I1067" t="str">
        <f>"05859251216"</f>
        <v>05859251216</v>
      </c>
      <c r="K1067" t="str">
        <f>""</f>
        <v/>
      </c>
      <c r="M1067" t="s">
        <v>68</v>
      </c>
      <c r="N1067" t="str">
        <f t="shared" si="140"/>
        <v>ALTPRO</v>
      </c>
      <c r="O1067" t="s">
        <v>116</v>
      </c>
      <c r="P1067" t="s">
        <v>75</v>
      </c>
      <c r="Q1067">
        <v>2017</v>
      </c>
      <c r="R1067" s="4">
        <v>42797</v>
      </c>
      <c r="S1067" s="2">
        <v>42801</v>
      </c>
      <c r="T1067" s="2">
        <v>42797</v>
      </c>
      <c r="U1067" s="4">
        <v>42857</v>
      </c>
      <c r="V1067" t="s">
        <v>71</v>
      </c>
      <c r="W1067" t="str">
        <f>"         FATTPA 3_17"</f>
        <v xml:space="preserve">         FATTPA 3_17</v>
      </c>
      <c r="X1067" s="1">
        <v>2370.6</v>
      </c>
      <c r="Y1067">
        <v>-474.12</v>
      </c>
      <c r="Z1067" s="5">
        <v>1896.48</v>
      </c>
      <c r="AA1067" s="3">
        <v>-56</v>
      </c>
      <c r="AB1067" s="5">
        <v>-106202.88</v>
      </c>
      <c r="AC1067" s="1">
        <v>1896.48</v>
      </c>
      <c r="AD1067">
        <v>-56</v>
      </c>
      <c r="AE1067" s="1">
        <v>-106202.88</v>
      </c>
      <c r="AF1067">
        <v>0</v>
      </c>
      <c r="AJ1067" s="1">
        <v>1896.48</v>
      </c>
      <c r="AK1067" s="1">
        <v>1896.48</v>
      </c>
      <c r="AL1067" s="1">
        <v>1896.48</v>
      </c>
      <c r="AM1067" s="1">
        <v>1896.48</v>
      </c>
      <c r="AN1067" s="1">
        <v>1896.48</v>
      </c>
      <c r="AO1067" s="1">
        <v>1896.48</v>
      </c>
      <c r="AP1067" s="2">
        <v>42831</v>
      </c>
      <c r="AQ1067" t="s">
        <v>72</v>
      </c>
      <c r="AR1067" t="s">
        <v>72</v>
      </c>
      <c r="AS1067">
        <v>743</v>
      </c>
      <c r="AT1067" s="4">
        <v>42801</v>
      </c>
      <c r="AV1067">
        <v>743</v>
      </c>
      <c r="AW1067" s="4">
        <v>42801</v>
      </c>
      <c r="BD1067">
        <v>0</v>
      </c>
      <c r="BN1067" t="s">
        <v>74</v>
      </c>
    </row>
    <row r="1068" spans="1:66" hidden="1">
      <c r="A1068">
        <v>101401</v>
      </c>
      <c r="B1068" t="s">
        <v>274</v>
      </c>
      <c r="C1068" s="1">
        <v>43500101</v>
      </c>
      <c r="D1068" t="s">
        <v>98</v>
      </c>
      <c r="H1068" t="str">
        <f t="shared" ref="H1068:I1070" si="141">"01341880621"</f>
        <v>01341880621</v>
      </c>
      <c r="I1068" t="str">
        <f t="shared" si="141"/>
        <v>01341880621</v>
      </c>
      <c r="K1068" t="str">
        <f>""</f>
        <v/>
      </c>
      <c r="M1068" t="s">
        <v>68</v>
      </c>
      <c r="N1068" t="str">
        <f>"ALTFIN"</f>
        <v>ALTFIN</v>
      </c>
      <c r="O1068" t="s">
        <v>102</v>
      </c>
      <c r="P1068" t="s">
        <v>82</v>
      </c>
      <c r="Q1068">
        <v>2017</v>
      </c>
      <c r="R1068" s="4">
        <v>42755</v>
      </c>
      <c r="S1068" s="2">
        <v>42755</v>
      </c>
      <c r="T1068" s="2">
        <v>42755</v>
      </c>
      <c r="U1068" s="4">
        <v>42815</v>
      </c>
      <c r="V1068" t="s">
        <v>71</v>
      </c>
      <c r="W1068" t="str">
        <f>"                0120"</f>
        <v xml:space="preserve">                0120</v>
      </c>
      <c r="X1068">
        <v>0</v>
      </c>
      <c r="Y1068">
        <v>151.65</v>
      </c>
      <c r="Z1068" s="3">
        <v>151.65</v>
      </c>
      <c r="AA1068" s="3">
        <v>-57</v>
      </c>
      <c r="AB1068" s="5">
        <v>-8644.0499999999993</v>
      </c>
      <c r="AC1068">
        <v>151.65</v>
      </c>
      <c r="AD1068">
        <v>-57</v>
      </c>
      <c r="AE1068" s="1">
        <v>-8644.0499999999993</v>
      </c>
      <c r="AF1068">
        <v>0</v>
      </c>
      <c r="AJ1068">
        <v>151.65</v>
      </c>
      <c r="AK1068">
        <v>151.65</v>
      </c>
      <c r="AL1068">
        <v>151.65</v>
      </c>
      <c r="AM1068">
        <v>151.65</v>
      </c>
      <c r="AN1068">
        <v>151.65</v>
      </c>
      <c r="AO1068">
        <v>151.65</v>
      </c>
      <c r="AP1068" s="2">
        <v>42831</v>
      </c>
      <c r="AQ1068" t="s">
        <v>72</v>
      </c>
      <c r="AR1068" t="s">
        <v>72</v>
      </c>
      <c r="AS1068">
        <v>42</v>
      </c>
      <c r="AT1068" s="4">
        <v>42758</v>
      </c>
      <c r="AV1068">
        <v>42</v>
      </c>
      <c r="AW1068" s="4">
        <v>42758</v>
      </c>
      <c r="BD1068">
        <v>0</v>
      </c>
      <c r="BN1068" t="s">
        <v>74</v>
      </c>
    </row>
    <row r="1069" spans="1:66" hidden="1">
      <c r="A1069">
        <v>101401</v>
      </c>
      <c r="B1069" t="s">
        <v>274</v>
      </c>
      <c r="C1069" s="1">
        <v>43500101</v>
      </c>
      <c r="D1069" t="s">
        <v>98</v>
      </c>
      <c r="H1069" t="str">
        <f t="shared" si="141"/>
        <v>01341880621</v>
      </c>
      <c r="I1069" t="str">
        <f t="shared" si="141"/>
        <v>01341880621</v>
      </c>
      <c r="K1069" t="str">
        <f>""</f>
        <v/>
      </c>
      <c r="M1069" t="s">
        <v>68</v>
      </c>
      <c r="N1069" t="str">
        <f>"ALTFIN"</f>
        <v>ALTFIN</v>
      </c>
      <c r="O1069" t="s">
        <v>102</v>
      </c>
      <c r="P1069" t="s">
        <v>83</v>
      </c>
      <c r="Q1069">
        <v>2017</v>
      </c>
      <c r="R1069" s="4">
        <v>42786</v>
      </c>
      <c r="S1069" s="2">
        <v>42787</v>
      </c>
      <c r="T1069" s="2">
        <v>42787</v>
      </c>
      <c r="U1069" s="4">
        <v>42847</v>
      </c>
      <c r="V1069" t="s">
        <v>71</v>
      </c>
      <c r="W1069" t="str">
        <f>"                0220"</f>
        <v xml:space="preserve">                0220</v>
      </c>
      <c r="X1069">
        <v>0</v>
      </c>
      <c r="Y1069">
        <v>151.65</v>
      </c>
      <c r="Z1069" s="3">
        <v>151.65</v>
      </c>
      <c r="AA1069" s="3">
        <v>-60</v>
      </c>
      <c r="AB1069" s="5">
        <v>-9099</v>
      </c>
      <c r="AC1069">
        <v>151.65</v>
      </c>
      <c r="AD1069">
        <v>-60</v>
      </c>
      <c r="AE1069" s="1">
        <v>-9099</v>
      </c>
      <c r="AF1069">
        <v>0</v>
      </c>
      <c r="AJ1069">
        <v>151.65</v>
      </c>
      <c r="AK1069">
        <v>151.65</v>
      </c>
      <c r="AL1069">
        <v>151.65</v>
      </c>
      <c r="AM1069">
        <v>151.65</v>
      </c>
      <c r="AN1069">
        <v>151.65</v>
      </c>
      <c r="AO1069">
        <v>151.65</v>
      </c>
      <c r="AP1069" s="2">
        <v>42831</v>
      </c>
      <c r="AQ1069" t="s">
        <v>72</v>
      </c>
      <c r="AR1069" t="s">
        <v>72</v>
      </c>
      <c r="AS1069">
        <v>522</v>
      </c>
      <c r="AT1069" s="4">
        <v>42787</v>
      </c>
      <c r="AV1069">
        <v>522</v>
      </c>
      <c r="AW1069" s="4">
        <v>42787</v>
      </c>
      <c r="BD1069">
        <v>0</v>
      </c>
      <c r="BN1069" t="s">
        <v>74</v>
      </c>
    </row>
    <row r="1070" spans="1:66" hidden="1">
      <c r="A1070">
        <v>101401</v>
      </c>
      <c r="B1070" t="s">
        <v>274</v>
      </c>
      <c r="C1070" s="1">
        <v>43500101</v>
      </c>
      <c r="D1070" t="s">
        <v>98</v>
      </c>
      <c r="H1070" t="str">
        <f t="shared" si="141"/>
        <v>01341880621</v>
      </c>
      <c r="I1070" t="str">
        <f t="shared" si="141"/>
        <v>01341880621</v>
      </c>
      <c r="K1070" t="str">
        <f>""</f>
        <v/>
      </c>
      <c r="M1070" t="s">
        <v>68</v>
      </c>
      <c r="N1070" t="str">
        <f>"ALTFIN"</f>
        <v>ALTFIN</v>
      </c>
      <c r="O1070" t="s">
        <v>102</v>
      </c>
      <c r="P1070" t="s">
        <v>84</v>
      </c>
      <c r="Q1070">
        <v>2017</v>
      </c>
      <c r="R1070" s="4">
        <v>42815</v>
      </c>
      <c r="S1070" s="2">
        <v>42815</v>
      </c>
      <c r="T1070" s="2">
        <v>42815</v>
      </c>
      <c r="U1070" s="4">
        <v>42875</v>
      </c>
      <c r="V1070" t="s">
        <v>71</v>
      </c>
      <c r="W1070" t="str">
        <f>"                0321"</f>
        <v xml:space="preserve">                0321</v>
      </c>
      <c r="X1070">
        <v>0</v>
      </c>
      <c r="Y1070">
        <v>151.65</v>
      </c>
      <c r="Z1070" s="3">
        <v>151.65</v>
      </c>
      <c r="AA1070" s="3">
        <v>-60</v>
      </c>
      <c r="AB1070" s="5">
        <v>-9099</v>
      </c>
      <c r="AC1070">
        <v>151.65</v>
      </c>
      <c r="AD1070">
        <v>-60</v>
      </c>
      <c r="AE1070" s="1">
        <v>-9099</v>
      </c>
      <c r="AF1070">
        <v>0</v>
      </c>
      <c r="AJ1070">
        <v>151.65</v>
      </c>
      <c r="AK1070">
        <v>151.65</v>
      </c>
      <c r="AL1070">
        <v>151.65</v>
      </c>
      <c r="AM1070">
        <v>151.65</v>
      </c>
      <c r="AN1070">
        <v>151.65</v>
      </c>
      <c r="AO1070">
        <v>151.65</v>
      </c>
      <c r="AP1070" s="2">
        <v>42831</v>
      </c>
      <c r="AQ1070" t="s">
        <v>72</v>
      </c>
      <c r="AR1070" t="s">
        <v>72</v>
      </c>
      <c r="AS1070">
        <v>819</v>
      </c>
      <c r="AT1070" s="4">
        <v>42815</v>
      </c>
      <c r="AV1070">
        <v>819</v>
      </c>
      <c r="AW1070" s="4">
        <v>42815</v>
      </c>
      <c r="BD1070">
        <v>0</v>
      </c>
      <c r="BN1070" t="s">
        <v>74</v>
      </c>
    </row>
    <row r="1071" spans="1:66" hidden="1">
      <c r="A1071">
        <v>101402</v>
      </c>
      <c r="B1071" t="s">
        <v>275</v>
      </c>
      <c r="C1071" s="1">
        <v>43500101</v>
      </c>
      <c r="D1071" t="s">
        <v>98</v>
      </c>
      <c r="H1071" t="str">
        <f>"92011130629"</f>
        <v>92011130629</v>
      </c>
      <c r="I1071" t="str">
        <f>""</f>
        <v/>
      </c>
      <c r="K1071" t="str">
        <f>""</f>
        <v/>
      </c>
      <c r="M1071" t="s">
        <v>68</v>
      </c>
      <c r="N1071" t="str">
        <f>"ALTASC"</f>
        <v>ALTASC</v>
      </c>
      <c r="O1071" t="s">
        <v>276</v>
      </c>
      <c r="P1071" t="s">
        <v>82</v>
      </c>
      <c r="Q1071">
        <v>2017</v>
      </c>
      <c r="R1071" s="4">
        <v>42755</v>
      </c>
      <c r="S1071" s="2">
        <v>42755</v>
      </c>
      <c r="T1071" s="2">
        <v>42755</v>
      </c>
      <c r="U1071" s="4">
        <v>42815</v>
      </c>
      <c r="V1071" t="s">
        <v>71</v>
      </c>
      <c r="W1071" t="str">
        <f>"                0120"</f>
        <v xml:space="preserve">                0120</v>
      </c>
      <c r="X1071">
        <v>0</v>
      </c>
      <c r="Y1071">
        <v>16.559999999999999</v>
      </c>
      <c r="Z1071" s="3">
        <v>16.559999999999999</v>
      </c>
      <c r="AA1071" s="3">
        <v>-57</v>
      </c>
      <c r="AB1071" s="3">
        <v>-943.92</v>
      </c>
      <c r="AC1071">
        <v>16.559999999999999</v>
      </c>
      <c r="AD1071">
        <v>-57</v>
      </c>
      <c r="AE1071">
        <v>-943.92</v>
      </c>
      <c r="AF1071">
        <v>0</v>
      </c>
      <c r="AJ1071">
        <v>16.559999999999999</v>
      </c>
      <c r="AK1071">
        <v>16.559999999999999</v>
      </c>
      <c r="AL1071">
        <v>16.559999999999999</v>
      </c>
      <c r="AM1071">
        <v>16.559999999999999</v>
      </c>
      <c r="AN1071">
        <v>16.559999999999999</v>
      </c>
      <c r="AO1071">
        <v>16.559999999999999</v>
      </c>
      <c r="AP1071" s="2">
        <v>42831</v>
      </c>
      <c r="AQ1071" t="s">
        <v>72</v>
      </c>
      <c r="AR1071" t="s">
        <v>72</v>
      </c>
      <c r="AS1071">
        <v>43</v>
      </c>
      <c r="AT1071" s="4">
        <v>42758</v>
      </c>
      <c r="AV1071">
        <v>43</v>
      </c>
      <c r="AW1071" s="4">
        <v>42758</v>
      </c>
      <c r="BD1071">
        <v>0</v>
      </c>
      <c r="BN1071" t="s">
        <v>74</v>
      </c>
    </row>
    <row r="1072" spans="1:66" hidden="1">
      <c r="A1072">
        <v>101402</v>
      </c>
      <c r="B1072" t="s">
        <v>275</v>
      </c>
      <c r="C1072" s="1">
        <v>43500101</v>
      </c>
      <c r="D1072" t="s">
        <v>98</v>
      </c>
      <c r="H1072" t="str">
        <f>"92011130629"</f>
        <v>92011130629</v>
      </c>
      <c r="I1072" t="str">
        <f>""</f>
        <v/>
      </c>
      <c r="K1072" t="str">
        <f>""</f>
        <v/>
      </c>
      <c r="M1072" t="s">
        <v>68</v>
      </c>
      <c r="N1072" t="str">
        <f>"ALTASC"</f>
        <v>ALTASC</v>
      </c>
      <c r="O1072" t="s">
        <v>276</v>
      </c>
      <c r="P1072" t="s">
        <v>83</v>
      </c>
      <c r="Q1072">
        <v>2017</v>
      </c>
      <c r="R1072" s="4">
        <v>42786</v>
      </c>
      <c r="S1072" s="2">
        <v>42787</v>
      </c>
      <c r="T1072" s="2">
        <v>42787</v>
      </c>
      <c r="U1072" s="4">
        <v>42847</v>
      </c>
      <c r="V1072" t="s">
        <v>71</v>
      </c>
      <c r="W1072" t="str">
        <f>"                0220"</f>
        <v xml:space="preserve">                0220</v>
      </c>
      <c r="X1072">
        <v>0</v>
      </c>
      <c r="Y1072">
        <v>10.35</v>
      </c>
      <c r="Z1072" s="3">
        <v>10.35</v>
      </c>
      <c r="AA1072" s="3">
        <v>-60</v>
      </c>
      <c r="AB1072" s="3">
        <v>-621</v>
      </c>
      <c r="AC1072">
        <v>10.35</v>
      </c>
      <c r="AD1072">
        <v>-60</v>
      </c>
      <c r="AE1072">
        <v>-621</v>
      </c>
      <c r="AF1072">
        <v>0</v>
      </c>
      <c r="AJ1072">
        <v>10.35</v>
      </c>
      <c r="AK1072">
        <v>10.35</v>
      </c>
      <c r="AL1072">
        <v>10.35</v>
      </c>
      <c r="AM1072">
        <v>10.35</v>
      </c>
      <c r="AN1072">
        <v>10.35</v>
      </c>
      <c r="AO1072">
        <v>10.35</v>
      </c>
      <c r="AP1072" s="2">
        <v>42831</v>
      </c>
      <c r="AQ1072" t="s">
        <v>72</v>
      </c>
      <c r="AR1072" t="s">
        <v>72</v>
      </c>
      <c r="AS1072">
        <v>523</v>
      </c>
      <c r="AT1072" s="4">
        <v>42787</v>
      </c>
      <c r="AV1072">
        <v>523</v>
      </c>
      <c r="AW1072" s="4">
        <v>42787</v>
      </c>
      <c r="BD1072">
        <v>0</v>
      </c>
      <c r="BN1072" t="s">
        <v>74</v>
      </c>
    </row>
    <row r="1073" spans="1:66" hidden="1">
      <c r="A1073">
        <v>101402</v>
      </c>
      <c r="B1073" t="s">
        <v>275</v>
      </c>
      <c r="C1073" s="1">
        <v>43500101</v>
      </c>
      <c r="D1073" t="s">
        <v>98</v>
      </c>
      <c r="H1073" t="str">
        <f>"92011130629"</f>
        <v>92011130629</v>
      </c>
      <c r="I1073" t="str">
        <f>""</f>
        <v/>
      </c>
      <c r="K1073" t="str">
        <f>""</f>
        <v/>
      </c>
      <c r="M1073" t="s">
        <v>68</v>
      </c>
      <c r="N1073" t="str">
        <f>"ALTASC"</f>
        <v>ALTASC</v>
      </c>
      <c r="O1073" t="s">
        <v>276</v>
      </c>
      <c r="P1073" t="s">
        <v>84</v>
      </c>
      <c r="Q1073">
        <v>2017</v>
      </c>
      <c r="R1073" s="4">
        <v>42815</v>
      </c>
      <c r="S1073" s="2">
        <v>42815</v>
      </c>
      <c r="T1073" s="2">
        <v>42815</v>
      </c>
      <c r="U1073" s="4">
        <v>42875</v>
      </c>
      <c r="V1073" t="s">
        <v>71</v>
      </c>
      <c r="W1073" t="str">
        <f>"                0321"</f>
        <v xml:space="preserve">                0321</v>
      </c>
      <c r="X1073">
        <v>0</v>
      </c>
      <c r="Y1073">
        <v>10.35</v>
      </c>
      <c r="Z1073" s="3">
        <v>10.35</v>
      </c>
      <c r="AA1073" s="3">
        <v>-60</v>
      </c>
      <c r="AB1073" s="3">
        <v>-621</v>
      </c>
      <c r="AC1073">
        <v>10.35</v>
      </c>
      <c r="AD1073">
        <v>-60</v>
      </c>
      <c r="AE1073">
        <v>-621</v>
      </c>
      <c r="AF1073">
        <v>0</v>
      </c>
      <c r="AJ1073">
        <v>10.35</v>
      </c>
      <c r="AK1073">
        <v>10.35</v>
      </c>
      <c r="AL1073">
        <v>10.35</v>
      </c>
      <c r="AM1073">
        <v>10.35</v>
      </c>
      <c r="AN1073">
        <v>10.35</v>
      </c>
      <c r="AO1073">
        <v>10.35</v>
      </c>
      <c r="AP1073" s="2">
        <v>42831</v>
      </c>
      <c r="AQ1073" t="s">
        <v>72</v>
      </c>
      <c r="AR1073" t="s">
        <v>72</v>
      </c>
      <c r="AS1073">
        <v>820</v>
      </c>
      <c r="AT1073" s="4">
        <v>42815</v>
      </c>
      <c r="AV1073">
        <v>820</v>
      </c>
      <c r="AW1073" s="4">
        <v>42815</v>
      </c>
      <c r="BD1073">
        <v>0</v>
      </c>
      <c r="BN1073" t="s">
        <v>74</v>
      </c>
    </row>
    <row r="1074" spans="1:66">
      <c r="A1074">
        <v>101408</v>
      </c>
      <c r="B1074" t="s">
        <v>277</v>
      </c>
      <c r="C1074" s="1">
        <v>43300101</v>
      </c>
      <c r="D1074" t="s">
        <v>67</v>
      </c>
      <c r="H1074" t="str">
        <f>"02571210349"</f>
        <v>02571210349</v>
      </c>
      <c r="I1074" t="str">
        <f>"02571210349"</f>
        <v>02571210349</v>
      </c>
      <c r="K1074" t="str">
        <f>""</f>
        <v/>
      </c>
      <c r="M1074" t="s">
        <v>68</v>
      </c>
      <c r="N1074" t="str">
        <f>"FOR"</f>
        <v>FOR</v>
      </c>
      <c r="O1074" t="s">
        <v>69</v>
      </c>
      <c r="P1074" t="s">
        <v>75</v>
      </c>
      <c r="Q1074">
        <v>2016</v>
      </c>
      <c r="R1074" s="4">
        <v>42676</v>
      </c>
      <c r="S1074" s="2">
        <v>42690</v>
      </c>
      <c r="T1074" s="2">
        <v>42684</v>
      </c>
      <c r="U1074" s="4">
        <v>42744</v>
      </c>
      <c r="V1074" t="s">
        <v>71</v>
      </c>
      <c r="W1074" t="str">
        <f>"            29E-2016"</f>
        <v xml:space="preserve">            29E-2016</v>
      </c>
      <c r="X1074" s="1">
        <v>1573.8</v>
      </c>
      <c r="Y1074">
        <v>0</v>
      </c>
      <c r="Z1074" s="5">
        <v>1290</v>
      </c>
      <c r="AA1074" s="3">
        <v>24</v>
      </c>
      <c r="AB1074" s="5">
        <v>30960</v>
      </c>
      <c r="AC1074" s="1">
        <v>1290</v>
      </c>
      <c r="AD1074">
        <v>24</v>
      </c>
      <c r="AE1074" s="1">
        <v>30960</v>
      </c>
      <c r="AF1074">
        <v>0</v>
      </c>
      <c r="AJ1074">
        <v>0</v>
      </c>
      <c r="AK1074">
        <v>0</v>
      </c>
      <c r="AL1074">
        <v>0</v>
      </c>
      <c r="AM1074">
        <v>0</v>
      </c>
      <c r="AN1074">
        <v>0</v>
      </c>
      <c r="AO1074">
        <v>0</v>
      </c>
      <c r="AP1074" s="2">
        <v>42831</v>
      </c>
      <c r="AQ1074" t="s">
        <v>72</v>
      </c>
      <c r="AR1074" t="s">
        <v>72</v>
      </c>
      <c r="AS1074">
        <v>259</v>
      </c>
      <c r="AT1074" s="4">
        <v>42768</v>
      </c>
      <c r="AU1074" t="s">
        <v>73</v>
      </c>
      <c r="AV1074">
        <v>259</v>
      </c>
      <c r="AW1074" s="4">
        <v>42768</v>
      </c>
      <c r="BD1074">
        <v>0</v>
      </c>
      <c r="BN1074" t="s">
        <v>74</v>
      </c>
    </row>
    <row r="1075" spans="1:66">
      <c r="A1075">
        <v>101453</v>
      </c>
      <c r="B1075" t="s">
        <v>278</v>
      </c>
      <c r="C1075" s="1">
        <v>43300101</v>
      </c>
      <c r="D1075" t="s">
        <v>67</v>
      </c>
      <c r="H1075" t="str">
        <f>"05025691212"</f>
        <v>05025691212</v>
      </c>
      <c r="I1075" t="str">
        <f>"05025691212"</f>
        <v>05025691212</v>
      </c>
      <c r="K1075" t="str">
        <f>""</f>
        <v/>
      </c>
      <c r="M1075" t="s">
        <v>68</v>
      </c>
      <c r="N1075" t="str">
        <f>"FOR"</f>
        <v>FOR</v>
      </c>
      <c r="O1075" t="s">
        <v>69</v>
      </c>
      <c r="P1075" t="s">
        <v>75</v>
      </c>
      <c r="Q1075">
        <v>2016</v>
      </c>
      <c r="R1075" s="4">
        <v>42704</v>
      </c>
      <c r="S1075" s="2">
        <v>42711</v>
      </c>
      <c r="T1075" s="2">
        <v>42711</v>
      </c>
      <c r="U1075" s="4">
        <v>42771</v>
      </c>
      <c r="V1075" t="s">
        <v>71</v>
      </c>
      <c r="W1075" t="str">
        <f>"              161 PA"</f>
        <v xml:space="preserve">              161 PA</v>
      </c>
      <c r="X1075">
        <v>504.26</v>
      </c>
      <c r="Y1075">
        <v>0</v>
      </c>
      <c r="Z1075" s="5">
        <v>413.33</v>
      </c>
      <c r="AA1075" s="3">
        <v>11</v>
      </c>
      <c r="AB1075" s="5">
        <v>4546.63</v>
      </c>
      <c r="AC1075">
        <v>413.33</v>
      </c>
      <c r="AD1075">
        <v>11</v>
      </c>
      <c r="AE1075" s="1">
        <v>4546.63</v>
      </c>
      <c r="AF1075">
        <v>0</v>
      </c>
      <c r="AJ1075">
        <v>0</v>
      </c>
      <c r="AK1075">
        <v>0</v>
      </c>
      <c r="AL1075">
        <v>0</v>
      </c>
      <c r="AM1075">
        <v>0</v>
      </c>
      <c r="AN1075">
        <v>0</v>
      </c>
      <c r="AO1075">
        <v>0</v>
      </c>
      <c r="AP1075" s="2">
        <v>42831</v>
      </c>
      <c r="AQ1075" t="s">
        <v>72</v>
      </c>
      <c r="AR1075" t="s">
        <v>72</v>
      </c>
      <c r="AS1075">
        <v>474</v>
      </c>
      <c r="AT1075" s="4">
        <v>42782</v>
      </c>
      <c r="AU1075" t="s">
        <v>73</v>
      </c>
      <c r="AV1075">
        <v>474</v>
      </c>
      <c r="AW1075" s="4">
        <v>42782</v>
      </c>
      <c r="BD1075">
        <v>0</v>
      </c>
      <c r="BN1075" t="s">
        <v>74</v>
      </c>
    </row>
    <row r="1076" spans="1:66">
      <c r="A1076">
        <v>101453</v>
      </c>
      <c r="B1076" t="s">
        <v>278</v>
      </c>
      <c r="C1076" s="1">
        <v>43300101</v>
      </c>
      <c r="D1076" t="s">
        <v>67</v>
      </c>
      <c r="H1076" t="str">
        <f>"05025691212"</f>
        <v>05025691212</v>
      </c>
      <c r="I1076" t="str">
        <f>"05025691212"</f>
        <v>05025691212</v>
      </c>
      <c r="K1076" t="str">
        <f>""</f>
        <v/>
      </c>
      <c r="M1076" t="s">
        <v>68</v>
      </c>
      <c r="N1076" t="str">
        <f>"FOR"</f>
        <v>FOR</v>
      </c>
      <c r="O1076" t="s">
        <v>69</v>
      </c>
      <c r="P1076" t="s">
        <v>75</v>
      </c>
      <c r="Q1076">
        <v>2016</v>
      </c>
      <c r="R1076" s="4">
        <v>42704</v>
      </c>
      <c r="S1076" s="2">
        <v>42720</v>
      </c>
      <c r="T1076" s="2">
        <v>42718</v>
      </c>
      <c r="U1076" s="4">
        <v>42778</v>
      </c>
      <c r="V1076" t="s">
        <v>71</v>
      </c>
      <c r="W1076" t="str">
        <f>"              166 PA"</f>
        <v xml:space="preserve">              166 PA</v>
      </c>
      <c r="X1076" s="1">
        <v>13494.33</v>
      </c>
      <c r="Y1076">
        <v>0</v>
      </c>
      <c r="Z1076" s="5">
        <v>11060.93</v>
      </c>
      <c r="AA1076" s="3">
        <v>4</v>
      </c>
      <c r="AB1076" s="5">
        <v>44243.72</v>
      </c>
      <c r="AC1076" s="1">
        <v>11060.93</v>
      </c>
      <c r="AD1076">
        <v>4</v>
      </c>
      <c r="AE1076" s="1">
        <v>44243.72</v>
      </c>
      <c r="AF1076">
        <v>0</v>
      </c>
      <c r="AJ1076">
        <v>0</v>
      </c>
      <c r="AK1076">
        <v>0</v>
      </c>
      <c r="AL1076">
        <v>0</v>
      </c>
      <c r="AM1076">
        <v>0</v>
      </c>
      <c r="AN1076">
        <v>0</v>
      </c>
      <c r="AO1076">
        <v>0</v>
      </c>
      <c r="AP1076" s="2">
        <v>42831</v>
      </c>
      <c r="AQ1076" t="s">
        <v>72</v>
      </c>
      <c r="AR1076" t="s">
        <v>72</v>
      </c>
      <c r="AS1076">
        <v>474</v>
      </c>
      <c r="AT1076" s="4">
        <v>42782</v>
      </c>
      <c r="AU1076" t="s">
        <v>73</v>
      </c>
      <c r="AV1076">
        <v>474</v>
      </c>
      <c r="AW1076" s="4">
        <v>42782</v>
      </c>
      <c r="BD1076">
        <v>0</v>
      </c>
      <c r="BN1076" t="s">
        <v>74</v>
      </c>
    </row>
    <row r="1077" spans="1:66">
      <c r="A1077">
        <v>101474</v>
      </c>
      <c r="B1077" t="s">
        <v>279</v>
      </c>
      <c r="C1077" s="1">
        <v>43300101</v>
      </c>
      <c r="D1077" t="s">
        <v>67</v>
      </c>
      <c r="H1077" t="str">
        <f>"09971540159"</f>
        <v>09971540159</v>
      </c>
      <c r="I1077" t="str">
        <f>"09971540159"</f>
        <v>09971540159</v>
      </c>
      <c r="K1077" t="str">
        <f>""</f>
        <v/>
      </c>
      <c r="M1077" t="s">
        <v>68</v>
      </c>
      <c r="N1077" t="str">
        <f>"FOR"</f>
        <v>FOR</v>
      </c>
      <c r="O1077" t="s">
        <v>69</v>
      </c>
      <c r="P1077" t="s">
        <v>75</v>
      </c>
      <c r="Q1077">
        <v>2016</v>
      </c>
      <c r="R1077" s="4">
        <v>42702</v>
      </c>
      <c r="S1077" s="2">
        <v>42705</v>
      </c>
      <c r="T1077" s="2">
        <v>42704</v>
      </c>
      <c r="U1077" s="4">
        <v>42764</v>
      </c>
      <c r="V1077" t="s">
        <v>71</v>
      </c>
      <c r="W1077" t="str">
        <f>"              3475/T"</f>
        <v xml:space="preserve">              3475/T</v>
      </c>
      <c r="X1077">
        <v>546.55999999999995</v>
      </c>
      <c r="Y1077">
        <v>0</v>
      </c>
      <c r="Z1077" s="5">
        <v>448</v>
      </c>
      <c r="AA1077" s="3">
        <v>4</v>
      </c>
      <c r="AB1077" s="5">
        <v>1792</v>
      </c>
      <c r="AC1077">
        <v>448</v>
      </c>
      <c r="AD1077">
        <v>4</v>
      </c>
      <c r="AE1077" s="1">
        <v>1792</v>
      </c>
      <c r="AF1077">
        <v>0</v>
      </c>
      <c r="AJ1077">
        <v>0</v>
      </c>
      <c r="AK1077">
        <v>0</v>
      </c>
      <c r="AL1077">
        <v>0</v>
      </c>
      <c r="AM1077">
        <v>0</v>
      </c>
      <c r="AN1077">
        <v>0</v>
      </c>
      <c r="AO1077">
        <v>0</v>
      </c>
      <c r="AP1077" s="2">
        <v>42831</v>
      </c>
      <c r="AQ1077" t="s">
        <v>72</v>
      </c>
      <c r="AR1077" t="s">
        <v>72</v>
      </c>
      <c r="AS1077">
        <v>285</v>
      </c>
      <c r="AT1077" s="4">
        <v>42768</v>
      </c>
      <c r="AU1077" t="s">
        <v>73</v>
      </c>
      <c r="AV1077">
        <v>285</v>
      </c>
      <c r="AW1077" s="4">
        <v>42768</v>
      </c>
      <c r="BD1077">
        <v>0</v>
      </c>
      <c r="BN1077" t="s">
        <v>74</v>
      </c>
    </row>
    <row r="1078" spans="1:66">
      <c r="A1078">
        <v>101476</v>
      </c>
      <c r="B1078" t="s">
        <v>280</v>
      </c>
      <c r="C1078" s="1">
        <v>43500101</v>
      </c>
      <c r="D1078" t="s">
        <v>98</v>
      </c>
      <c r="H1078" t="str">
        <f t="shared" ref="H1078:I1082" si="142">"06363391001"</f>
        <v>06363391001</v>
      </c>
      <c r="I1078" t="str">
        <f t="shared" si="142"/>
        <v>06363391001</v>
      </c>
      <c r="K1078" t="str">
        <f>""</f>
        <v/>
      </c>
      <c r="M1078" t="s">
        <v>68</v>
      </c>
      <c r="N1078" t="str">
        <f>"ALT"</f>
        <v>ALT</v>
      </c>
      <c r="O1078" t="s">
        <v>99</v>
      </c>
      <c r="P1078" t="s">
        <v>281</v>
      </c>
      <c r="Q1078">
        <v>2017</v>
      </c>
      <c r="R1078" s="4">
        <v>42765</v>
      </c>
      <c r="S1078" s="2">
        <v>42765</v>
      </c>
      <c r="T1078" s="2">
        <v>42765</v>
      </c>
      <c r="U1078" s="4">
        <v>42825</v>
      </c>
      <c r="V1078" t="s">
        <v>71</v>
      </c>
      <c r="W1078" t="str">
        <f>"                  15"</f>
        <v xml:space="preserve">                  15</v>
      </c>
      <c r="X1078">
        <v>0</v>
      </c>
      <c r="Y1078">
        <v>406.5</v>
      </c>
      <c r="Z1078" s="5">
        <v>406.5</v>
      </c>
      <c r="AA1078" s="3">
        <v>-59</v>
      </c>
      <c r="AB1078" s="5">
        <v>-23983.5</v>
      </c>
      <c r="AC1078">
        <v>406.5</v>
      </c>
      <c r="AD1078">
        <v>-59</v>
      </c>
      <c r="AE1078" s="1">
        <v>-23983.5</v>
      </c>
      <c r="AF1078">
        <v>0</v>
      </c>
      <c r="AJ1078">
        <v>406.5</v>
      </c>
      <c r="AK1078">
        <v>406.5</v>
      </c>
      <c r="AL1078">
        <v>406.5</v>
      </c>
      <c r="AM1078">
        <v>406.5</v>
      </c>
      <c r="AN1078">
        <v>406.5</v>
      </c>
      <c r="AO1078">
        <v>406.5</v>
      </c>
      <c r="AP1078" s="2">
        <v>42831</v>
      </c>
      <c r="AQ1078" t="s">
        <v>72</v>
      </c>
      <c r="AR1078" t="s">
        <v>72</v>
      </c>
      <c r="AS1078">
        <v>189</v>
      </c>
      <c r="AT1078" s="4">
        <v>42766</v>
      </c>
      <c r="AV1078">
        <v>189</v>
      </c>
      <c r="AW1078" s="4">
        <v>42766</v>
      </c>
      <c r="BD1078">
        <v>0</v>
      </c>
      <c r="BN1078" t="s">
        <v>74</v>
      </c>
    </row>
    <row r="1079" spans="1:66">
      <c r="A1079">
        <v>101476</v>
      </c>
      <c r="B1079" t="s">
        <v>280</v>
      </c>
      <c r="C1079" s="1">
        <v>43500101</v>
      </c>
      <c r="D1079" t="s">
        <v>98</v>
      </c>
      <c r="H1079" t="str">
        <f t="shared" si="142"/>
        <v>06363391001</v>
      </c>
      <c r="I1079" t="str">
        <f t="shared" si="142"/>
        <v>06363391001</v>
      </c>
      <c r="K1079" t="str">
        <f>""</f>
        <v/>
      </c>
      <c r="M1079" t="s">
        <v>68</v>
      </c>
      <c r="N1079" t="str">
        <f>"ALT"</f>
        <v>ALT</v>
      </c>
      <c r="O1079" t="s">
        <v>99</v>
      </c>
      <c r="P1079" t="s">
        <v>282</v>
      </c>
      <c r="Q1079">
        <v>2017</v>
      </c>
      <c r="R1079" s="4">
        <v>42789</v>
      </c>
      <c r="S1079" s="2">
        <v>42789</v>
      </c>
      <c r="T1079" s="2">
        <v>42789</v>
      </c>
      <c r="U1079" s="4">
        <v>42849</v>
      </c>
      <c r="V1079" t="s">
        <v>71</v>
      </c>
      <c r="W1079" t="str">
        <f>"                  34"</f>
        <v xml:space="preserve">                  34</v>
      </c>
      <c r="X1079">
        <v>0</v>
      </c>
      <c r="Y1079" s="1">
        <v>1406.66</v>
      </c>
      <c r="Z1079" s="5">
        <v>1406.66</v>
      </c>
      <c r="AA1079" s="3">
        <v>-49</v>
      </c>
      <c r="AB1079" s="5">
        <v>-68926.34</v>
      </c>
      <c r="AC1079" s="1">
        <v>1406.66</v>
      </c>
      <c r="AD1079">
        <v>-49</v>
      </c>
      <c r="AE1079" s="1">
        <v>-68926.34</v>
      </c>
      <c r="AF1079">
        <v>0</v>
      </c>
      <c r="AJ1079" s="1">
        <v>1406.66</v>
      </c>
      <c r="AK1079" s="1">
        <v>1406.66</v>
      </c>
      <c r="AL1079" s="1">
        <v>1406.66</v>
      </c>
      <c r="AM1079" s="1">
        <v>1406.66</v>
      </c>
      <c r="AN1079" s="1">
        <v>1406.66</v>
      </c>
      <c r="AO1079" s="1">
        <v>1406.66</v>
      </c>
      <c r="AP1079" s="2">
        <v>42831</v>
      </c>
      <c r="AQ1079" t="s">
        <v>72</v>
      </c>
      <c r="AR1079" t="s">
        <v>72</v>
      </c>
      <c r="AS1079">
        <v>737</v>
      </c>
      <c r="AT1079" s="4">
        <v>42800</v>
      </c>
      <c r="AV1079">
        <v>737</v>
      </c>
      <c r="AW1079" s="4">
        <v>42800</v>
      </c>
      <c r="BD1079">
        <v>0</v>
      </c>
      <c r="BN1079" t="s">
        <v>74</v>
      </c>
    </row>
    <row r="1080" spans="1:66">
      <c r="A1080">
        <v>101476</v>
      </c>
      <c r="B1080" t="s">
        <v>280</v>
      </c>
      <c r="C1080" s="1">
        <v>43500101</v>
      </c>
      <c r="D1080" t="s">
        <v>98</v>
      </c>
      <c r="H1080" t="str">
        <f t="shared" si="142"/>
        <v>06363391001</v>
      </c>
      <c r="I1080" t="str">
        <f t="shared" si="142"/>
        <v>06363391001</v>
      </c>
      <c r="K1080" t="str">
        <f>""</f>
        <v/>
      </c>
      <c r="M1080" t="s">
        <v>68</v>
      </c>
      <c r="N1080" t="str">
        <f>"ALT"</f>
        <v>ALT</v>
      </c>
      <c r="O1080" t="s">
        <v>99</v>
      </c>
      <c r="P1080" t="s">
        <v>283</v>
      </c>
      <c r="Q1080">
        <v>2017</v>
      </c>
      <c r="R1080" s="4">
        <v>42811</v>
      </c>
      <c r="S1080" s="2">
        <v>42811</v>
      </c>
      <c r="T1080" s="2">
        <v>42811</v>
      </c>
      <c r="U1080" s="4">
        <v>42871</v>
      </c>
      <c r="V1080" t="s">
        <v>71</v>
      </c>
      <c r="W1080" t="str">
        <f>"                  56"</f>
        <v xml:space="preserve">                  56</v>
      </c>
      <c r="X1080">
        <v>0</v>
      </c>
      <c r="Y1080" s="1">
        <v>107247.95</v>
      </c>
      <c r="Z1080" s="5">
        <v>107247.95</v>
      </c>
      <c r="AA1080" s="3">
        <v>-55</v>
      </c>
      <c r="AB1080" s="5">
        <v>-5898637.25</v>
      </c>
      <c r="AC1080" s="1">
        <v>107247.95</v>
      </c>
      <c r="AD1080">
        <v>-55</v>
      </c>
      <c r="AE1080" s="1">
        <v>-5898637.25</v>
      </c>
      <c r="AF1080">
        <v>0</v>
      </c>
      <c r="AJ1080" s="1">
        <v>107247.95</v>
      </c>
      <c r="AK1080" s="1">
        <v>107247.95</v>
      </c>
      <c r="AL1080" s="1">
        <v>107247.95</v>
      </c>
      <c r="AM1080" s="1">
        <v>107247.95</v>
      </c>
      <c r="AN1080" s="1">
        <v>107247.95</v>
      </c>
      <c r="AO1080" s="1">
        <v>107247.95</v>
      </c>
      <c r="AP1080" s="2">
        <v>42831</v>
      </c>
      <c r="AQ1080" t="s">
        <v>72</v>
      </c>
      <c r="AR1080" t="s">
        <v>72</v>
      </c>
      <c r="AS1080">
        <v>880</v>
      </c>
      <c r="AT1080" s="4">
        <v>42816</v>
      </c>
      <c r="AV1080">
        <v>880</v>
      </c>
      <c r="AW1080" s="4">
        <v>42816</v>
      </c>
      <c r="BD1080">
        <v>0</v>
      </c>
      <c r="BN1080" t="s">
        <v>74</v>
      </c>
    </row>
    <row r="1081" spans="1:66">
      <c r="A1081">
        <v>101476</v>
      </c>
      <c r="B1081" t="s">
        <v>280</v>
      </c>
      <c r="C1081" s="1">
        <v>43500101</v>
      </c>
      <c r="D1081" t="s">
        <v>98</v>
      </c>
      <c r="H1081" t="str">
        <f t="shared" si="142"/>
        <v>06363391001</v>
      </c>
      <c r="I1081" t="str">
        <f t="shared" si="142"/>
        <v>06363391001</v>
      </c>
      <c r="K1081" t="str">
        <f>""</f>
        <v/>
      </c>
      <c r="M1081" t="s">
        <v>68</v>
      </c>
      <c r="N1081" t="str">
        <f>"ALT"</f>
        <v>ALT</v>
      </c>
      <c r="O1081" t="s">
        <v>99</v>
      </c>
      <c r="P1081" t="s">
        <v>283</v>
      </c>
      <c r="Q1081">
        <v>2017</v>
      </c>
      <c r="R1081" s="4">
        <v>42811</v>
      </c>
      <c r="S1081" s="2">
        <v>42811</v>
      </c>
      <c r="T1081" s="2">
        <v>42811</v>
      </c>
      <c r="U1081" s="4">
        <v>42871</v>
      </c>
      <c r="V1081" t="s">
        <v>71</v>
      </c>
      <c r="W1081" t="str">
        <f>"                  57"</f>
        <v xml:space="preserve">                  57</v>
      </c>
      <c r="X1081">
        <v>0</v>
      </c>
      <c r="Y1081" s="1">
        <v>8437.5</v>
      </c>
      <c r="Z1081" s="5">
        <v>8437.5</v>
      </c>
      <c r="AA1081" s="3">
        <v>-55</v>
      </c>
      <c r="AB1081" s="5">
        <v>-464062.5</v>
      </c>
      <c r="AC1081" s="1">
        <v>8437.5</v>
      </c>
      <c r="AD1081">
        <v>-55</v>
      </c>
      <c r="AE1081" s="1">
        <v>-464062.5</v>
      </c>
      <c r="AF1081">
        <v>0</v>
      </c>
      <c r="AJ1081" s="1">
        <v>8437.5</v>
      </c>
      <c r="AK1081" s="1">
        <v>8437.5</v>
      </c>
      <c r="AL1081" s="1">
        <v>8437.5</v>
      </c>
      <c r="AM1081" s="1">
        <v>8437.5</v>
      </c>
      <c r="AN1081" s="1">
        <v>8437.5</v>
      </c>
      <c r="AO1081" s="1">
        <v>8437.5</v>
      </c>
      <c r="AP1081" s="2">
        <v>42831</v>
      </c>
      <c r="AQ1081" t="s">
        <v>72</v>
      </c>
      <c r="AR1081" t="s">
        <v>72</v>
      </c>
      <c r="AS1081">
        <v>878</v>
      </c>
      <c r="AT1081" s="4">
        <v>42816</v>
      </c>
      <c r="AV1081">
        <v>878</v>
      </c>
      <c r="AW1081" s="4">
        <v>42816</v>
      </c>
      <c r="BD1081">
        <v>0</v>
      </c>
      <c r="BN1081" t="s">
        <v>74</v>
      </c>
    </row>
    <row r="1082" spans="1:66">
      <c r="A1082">
        <v>101476</v>
      </c>
      <c r="B1082" t="s">
        <v>280</v>
      </c>
      <c r="C1082" s="1">
        <v>43500101</v>
      </c>
      <c r="D1082" t="s">
        <v>98</v>
      </c>
      <c r="H1082" t="str">
        <f t="shared" si="142"/>
        <v>06363391001</v>
      </c>
      <c r="I1082" t="str">
        <f t="shared" si="142"/>
        <v>06363391001</v>
      </c>
      <c r="K1082" t="str">
        <f>""</f>
        <v/>
      </c>
      <c r="M1082" t="s">
        <v>68</v>
      </c>
      <c r="N1082" t="str">
        <f>"ALT"</f>
        <v>ALT</v>
      </c>
      <c r="O1082" t="s">
        <v>99</v>
      </c>
      <c r="P1082" t="s">
        <v>283</v>
      </c>
      <c r="Q1082">
        <v>2017</v>
      </c>
      <c r="R1082" s="4">
        <v>42811</v>
      </c>
      <c r="S1082" s="2">
        <v>42811</v>
      </c>
      <c r="T1082" s="2">
        <v>42811</v>
      </c>
      <c r="U1082" s="4">
        <v>42871</v>
      </c>
      <c r="V1082" t="s">
        <v>71</v>
      </c>
      <c r="W1082" t="str">
        <f>"                  58"</f>
        <v xml:space="preserve">                  58</v>
      </c>
      <c r="X1082">
        <v>0</v>
      </c>
      <c r="Y1082" s="1">
        <v>9263.77</v>
      </c>
      <c r="Z1082" s="5">
        <v>9263.77</v>
      </c>
      <c r="AA1082" s="3">
        <v>-55</v>
      </c>
      <c r="AB1082" s="5">
        <v>-509507.35</v>
      </c>
      <c r="AC1082" s="1">
        <v>9263.77</v>
      </c>
      <c r="AD1082">
        <v>-55</v>
      </c>
      <c r="AE1082" s="1">
        <v>-509507.35</v>
      </c>
      <c r="AF1082">
        <v>0</v>
      </c>
      <c r="AJ1082" s="1">
        <v>9263.77</v>
      </c>
      <c r="AK1082" s="1">
        <v>9263.77</v>
      </c>
      <c r="AL1082" s="1">
        <v>9263.77</v>
      </c>
      <c r="AM1082" s="1">
        <v>9263.77</v>
      </c>
      <c r="AN1082" s="1">
        <v>9263.77</v>
      </c>
      <c r="AO1082" s="1">
        <v>9263.77</v>
      </c>
      <c r="AP1082" s="2">
        <v>42831</v>
      </c>
      <c r="AQ1082" t="s">
        <v>72</v>
      </c>
      <c r="AR1082" t="s">
        <v>72</v>
      </c>
      <c r="AS1082">
        <v>879</v>
      </c>
      <c r="AT1082" s="4">
        <v>42816</v>
      </c>
      <c r="AV1082">
        <v>879</v>
      </c>
      <c r="AW1082" s="4">
        <v>42816</v>
      </c>
      <c r="BD1082">
        <v>0</v>
      </c>
      <c r="BN1082" t="s">
        <v>74</v>
      </c>
    </row>
    <row r="1083" spans="1:66">
      <c r="A1083">
        <v>101477</v>
      </c>
      <c r="B1083" t="s">
        <v>284</v>
      </c>
      <c r="C1083" s="1">
        <v>43300101</v>
      </c>
      <c r="D1083" t="s">
        <v>67</v>
      </c>
      <c r="H1083" t="str">
        <f t="shared" ref="H1083:I1094" si="143">"00977960327"</f>
        <v>00977960327</v>
      </c>
      <c r="I1083" t="str">
        <f t="shared" si="143"/>
        <v>00977960327</v>
      </c>
      <c r="K1083" t="str">
        <f>""</f>
        <v/>
      </c>
      <c r="M1083" t="s">
        <v>68</v>
      </c>
      <c r="N1083" t="str">
        <f t="shared" ref="N1083:N1094" si="144">"FOR"</f>
        <v>FOR</v>
      </c>
      <c r="O1083" t="s">
        <v>69</v>
      </c>
      <c r="P1083" t="s">
        <v>75</v>
      </c>
      <c r="Q1083">
        <v>2016</v>
      </c>
      <c r="R1083" s="4">
        <v>42611</v>
      </c>
      <c r="S1083" s="2">
        <v>42618</v>
      </c>
      <c r="T1083" s="2">
        <v>42615</v>
      </c>
      <c r="U1083" s="4">
        <v>42675</v>
      </c>
      <c r="V1083" t="s">
        <v>71</v>
      </c>
      <c r="W1083" t="str">
        <f>"              452 PA"</f>
        <v xml:space="preserve">              452 PA</v>
      </c>
      <c r="X1083">
        <v>379.18</v>
      </c>
      <c r="Y1083">
        <v>0</v>
      </c>
      <c r="Z1083" s="5">
        <v>310.8</v>
      </c>
      <c r="AA1083" s="3">
        <v>93</v>
      </c>
      <c r="AB1083" s="5">
        <v>28904.400000000001</v>
      </c>
      <c r="AC1083">
        <v>310.8</v>
      </c>
      <c r="AD1083">
        <v>93</v>
      </c>
      <c r="AE1083" s="1">
        <v>28904.400000000001</v>
      </c>
      <c r="AF1083">
        <v>0</v>
      </c>
      <c r="AJ1083">
        <v>0</v>
      </c>
      <c r="AK1083">
        <v>0</v>
      </c>
      <c r="AL1083">
        <v>0</v>
      </c>
      <c r="AM1083">
        <v>0</v>
      </c>
      <c r="AN1083">
        <v>0</v>
      </c>
      <c r="AO1083">
        <v>0</v>
      </c>
      <c r="AP1083" s="2">
        <v>42831</v>
      </c>
      <c r="AQ1083" t="s">
        <v>72</v>
      </c>
      <c r="AR1083" t="s">
        <v>72</v>
      </c>
      <c r="AS1083">
        <v>272</v>
      </c>
      <c r="AT1083" s="4">
        <v>42768</v>
      </c>
      <c r="AU1083" t="s">
        <v>73</v>
      </c>
      <c r="AV1083">
        <v>272</v>
      </c>
      <c r="AW1083" s="4">
        <v>42768</v>
      </c>
      <c r="BD1083">
        <v>0</v>
      </c>
      <c r="BN1083" t="s">
        <v>74</v>
      </c>
    </row>
    <row r="1084" spans="1:66">
      <c r="A1084">
        <v>101477</v>
      </c>
      <c r="B1084" t="s">
        <v>284</v>
      </c>
      <c r="C1084" s="1">
        <v>43300101</v>
      </c>
      <c r="D1084" t="s">
        <v>67</v>
      </c>
      <c r="H1084" t="str">
        <f t="shared" si="143"/>
        <v>00977960327</v>
      </c>
      <c r="I1084" t="str">
        <f t="shared" si="143"/>
        <v>00977960327</v>
      </c>
      <c r="K1084" t="str">
        <f>""</f>
        <v/>
      </c>
      <c r="M1084" t="s">
        <v>68</v>
      </c>
      <c r="N1084" t="str">
        <f t="shared" si="144"/>
        <v>FOR</v>
      </c>
      <c r="O1084" t="s">
        <v>69</v>
      </c>
      <c r="P1084" t="s">
        <v>75</v>
      </c>
      <c r="Q1084">
        <v>2016</v>
      </c>
      <c r="R1084" s="4">
        <v>42613</v>
      </c>
      <c r="S1084" s="2">
        <v>42618</v>
      </c>
      <c r="T1084" s="2">
        <v>42615</v>
      </c>
      <c r="U1084" s="4">
        <v>42675</v>
      </c>
      <c r="V1084" t="s">
        <v>71</v>
      </c>
      <c r="W1084" t="str">
        <f>"              471 PA"</f>
        <v xml:space="preserve">              471 PA</v>
      </c>
      <c r="X1084">
        <v>131.76</v>
      </c>
      <c r="Y1084">
        <v>0</v>
      </c>
      <c r="Z1084" s="5">
        <v>108</v>
      </c>
      <c r="AA1084" s="3">
        <v>93</v>
      </c>
      <c r="AB1084" s="5">
        <v>10044</v>
      </c>
      <c r="AC1084">
        <v>108</v>
      </c>
      <c r="AD1084">
        <v>93</v>
      </c>
      <c r="AE1084" s="1">
        <v>10044</v>
      </c>
      <c r="AF1084">
        <v>0</v>
      </c>
      <c r="AJ1084">
        <v>0</v>
      </c>
      <c r="AK1084">
        <v>0</v>
      </c>
      <c r="AL1084">
        <v>0</v>
      </c>
      <c r="AM1084">
        <v>0</v>
      </c>
      <c r="AN1084">
        <v>0</v>
      </c>
      <c r="AO1084">
        <v>0</v>
      </c>
      <c r="AP1084" s="2">
        <v>42831</v>
      </c>
      <c r="AQ1084" t="s">
        <v>72</v>
      </c>
      <c r="AR1084" t="s">
        <v>72</v>
      </c>
      <c r="AS1084">
        <v>272</v>
      </c>
      <c r="AT1084" s="4">
        <v>42768</v>
      </c>
      <c r="AU1084" t="s">
        <v>73</v>
      </c>
      <c r="AV1084">
        <v>272</v>
      </c>
      <c r="AW1084" s="4">
        <v>42768</v>
      </c>
      <c r="BD1084">
        <v>0</v>
      </c>
      <c r="BN1084" t="s">
        <v>74</v>
      </c>
    </row>
    <row r="1085" spans="1:66">
      <c r="A1085">
        <v>101477</v>
      </c>
      <c r="B1085" t="s">
        <v>284</v>
      </c>
      <c r="C1085" s="1">
        <v>43300101</v>
      </c>
      <c r="D1085" t="s">
        <v>67</v>
      </c>
      <c r="H1085" t="str">
        <f t="shared" si="143"/>
        <v>00977960327</v>
      </c>
      <c r="I1085" t="str">
        <f t="shared" si="143"/>
        <v>00977960327</v>
      </c>
      <c r="K1085" t="str">
        <f>""</f>
        <v/>
      </c>
      <c r="M1085" t="s">
        <v>68</v>
      </c>
      <c r="N1085" t="str">
        <f t="shared" si="144"/>
        <v>FOR</v>
      </c>
      <c r="O1085" t="s">
        <v>69</v>
      </c>
      <c r="P1085" t="s">
        <v>75</v>
      </c>
      <c r="Q1085">
        <v>2016</v>
      </c>
      <c r="R1085" s="4">
        <v>42628</v>
      </c>
      <c r="S1085" s="2">
        <v>42632</v>
      </c>
      <c r="T1085" s="2">
        <v>42629</v>
      </c>
      <c r="U1085" s="4">
        <v>42689</v>
      </c>
      <c r="V1085" t="s">
        <v>71</v>
      </c>
      <c r="W1085" t="str">
        <f>"              488 PA"</f>
        <v xml:space="preserve">              488 PA</v>
      </c>
      <c r="X1085">
        <v>527.04</v>
      </c>
      <c r="Y1085">
        <v>0</v>
      </c>
      <c r="Z1085" s="5">
        <v>432</v>
      </c>
      <c r="AA1085" s="3">
        <v>79</v>
      </c>
      <c r="AB1085" s="5">
        <v>34128</v>
      </c>
      <c r="AC1085">
        <v>432</v>
      </c>
      <c r="AD1085">
        <v>79</v>
      </c>
      <c r="AE1085" s="1">
        <v>34128</v>
      </c>
      <c r="AF1085">
        <v>0</v>
      </c>
      <c r="AJ1085">
        <v>0</v>
      </c>
      <c r="AK1085">
        <v>0</v>
      </c>
      <c r="AL1085">
        <v>0</v>
      </c>
      <c r="AM1085">
        <v>0</v>
      </c>
      <c r="AN1085">
        <v>0</v>
      </c>
      <c r="AO1085">
        <v>0</v>
      </c>
      <c r="AP1085" s="2">
        <v>42831</v>
      </c>
      <c r="AQ1085" t="s">
        <v>72</v>
      </c>
      <c r="AR1085" t="s">
        <v>72</v>
      </c>
      <c r="AS1085">
        <v>272</v>
      </c>
      <c r="AT1085" s="4">
        <v>42768</v>
      </c>
      <c r="AU1085" t="s">
        <v>73</v>
      </c>
      <c r="AV1085">
        <v>272</v>
      </c>
      <c r="AW1085" s="4">
        <v>42768</v>
      </c>
      <c r="BD1085">
        <v>0</v>
      </c>
      <c r="BN1085" t="s">
        <v>74</v>
      </c>
    </row>
    <row r="1086" spans="1:66">
      <c r="A1086">
        <v>101477</v>
      </c>
      <c r="B1086" t="s">
        <v>284</v>
      </c>
      <c r="C1086" s="1">
        <v>43300101</v>
      </c>
      <c r="D1086" t="s">
        <v>67</v>
      </c>
      <c r="H1086" t="str">
        <f t="shared" si="143"/>
        <v>00977960327</v>
      </c>
      <c r="I1086" t="str">
        <f t="shared" si="143"/>
        <v>00977960327</v>
      </c>
      <c r="K1086" t="str">
        <f>""</f>
        <v/>
      </c>
      <c r="M1086" t="s">
        <v>68</v>
      </c>
      <c r="N1086" t="str">
        <f t="shared" si="144"/>
        <v>FOR</v>
      </c>
      <c r="O1086" t="s">
        <v>69</v>
      </c>
      <c r="P1086" t="s">
        <v>75</v>
      </c>
      <c r="Q1086">
        <v>2016</v>
      </c>
      <c r="R1086" s="4">
        <v>42643</v>
      </c>
      <c r="S1086" s="2">
        <v>42654</v>
      </c>
      <c r="T1086" s="2">
        <v>42649</v>
      </c>
      <c r="U1086" s="4">
        <v>42709</v>
      </c>
      <c r="V1086" t="s">
        <v>71</v>
      </c>
      <c r="W1086" t="str">
        <f>"              517 PA"</f>
        <v xml:space="preserve">              517 PA</v>
      </c>
      <c r="X1086" s="1">
        <v>6176.25</v>
      </c>
      <c r="Y1086">
        <v>0</v>
      </c>
      <c r="Z1086" s="5">
        <v>5062.5</v>
      </c>
      <c r="AA1086" s="3">
        <v>59</v>
      </c>
      <c r="AB1086" s="5">
        <v>298687.5</v>
      </c>
      <c r="AC1086" s="1">
        <v>5062.5</v>
      </c>
      <c r="AD1086">
        <v>59</v>
      </c>
      <c r="AE1086" s="1">
        <v>298687.5</v>
      </c>
      <c r="AF1086">
        <v>0</v>
      </c>
      <c r="AJ1086">
        <v>0</v>
      </c>
      <c r="AK1086">
        <v>0</v>
      </c>
      <c r="AL1086">
        <v>0</v>
      </c>
      <c r="AM1086">
        <v>0</v>
      </c>
      <c r="AN1086">
        <v>0</v>
      </c>
      <c r="AO1086">
        <v>0</v>
      </c>
      <c r="AP1086" s="2">
        <v>42831</v>
      </c>
      <c r="AQ1086" t="s">
        <v>72</v>
      </c>
      <c r="AR1086" t="s">
        <v>72</v>
      </c>
      <c r="AS1086">
        <v>272</v>
      </c>
      <c r="AT1086" s="4">
        <v>42768</v>
      </c>
      <c r="AU1086" t="s">
        <v>73</v>
      </c>
      <c r="AV1086">
        <v>272</v>
      </c>
      <c r="AW1086" s="4">
        <v>42768</v>
      </c>
      <c r="BD1086">
        <v>0</v>
      </c>
      <c r="BN1086" t="s">
        <v>74</v>
      </c>
    </row>
    <row r="1087" spans="1:66">
      <c r="A1087">
        <v>101477</v>
      </c>
      <c r="B1087" t="s">
        <v>284</v>
      </c>
      <c r="C1087" s="1">
        <v>43300101</v>
      </c>
      <c r="D1087" t="s">
        <v>67</v>
      </c>
      <c r="H1087" t="str">
        <f t="shared" si="143"/>
        <v>00977960327</v>
      </c>
      <c r="I1087" t="str">
        <f t="shared" si="143"/>
        <v>00977960327</v>
      </c>
      <c r="K1087" t="str">
        <f>""</f>
        <v/>
      </c>
      <c r="M1087" t="s">
        <v>68</v>
      </c>
      <c r="N1087" t="str">
        <f t="shared" si="144"/>
        <v>FOR</v>
      </c>
      <c r="O1087" t="s">
        <v>69</v>
      </c>
      <c r="P1087" t="s">
        <v>75</v>
      </c>
      <c r="Q1087">
        <v>2016</v>
      </c>
      <c r="R1087" s="4">
        <v>42643</v>
      </c>
      <c r="S1087" s="2">
        <v>42654</v>
      </c>
      <c r="T1087" s="2">
        <v>42649</v>
      </c>
      <c r="U1087" s="4">
        <v>42709</v>
      </c>
      <c r="V1087" t="s">
        <v>71</v>
      </c>
      <c r="W1087" t="str">
        <f>"              518 PA"</f>
        <v xml:space="preserve">              518 PA</v>
      </c>
      <c r="X1087">
        <v>98.82</v>
      </c>
      <c r="Y1087">
        <v>0</v>
      </c>
      <c r="Z1087" s="5">
        <v>81</v>
      </c>
      <c r="AA1087" s="3">
        <v>59</v>
      </c>
      <c r="AB1087" s="5">
        <v>4779</v>
      </c>
      <c r="AC1087">
        <v>81</v>
      </c>
      <c r="AD1087">
        <v>59</v>
      </c>
      <c r="AE1087" s="1">
        <v>4779</v>
      </c>
      <c r="AF1087">
        <v>0</v>
      </c>
      <c r="AJ1087">
        <v>0</v>
      </c>
      <c r="AK1087">
        <v>0</v>
      </c>
      <c r="AL1087">
        <v>0</v>
      </c>
      <c r="AM1087">
        <v>0</v>
      </c>
      <c r="AN1087">
        <v>0</v>
      </c>
      <c r="AO1087">
        <v>0</v>
      </c>
      <c r="AP1087" s="2">
        <v>42831</v>
      </c>
      <c r="AQ1087" t="s">
        <v>72</v>
      </c>
      <c r="AR1087" t="s">
        <v>72</v>
      </c>
      <c r="AS1087">
        <v>272</v>
      </c>
      <c r="AT1087" s="4">
        <v>42768</v>
      </c>
      <c r="AU1087" t="s">
        <v>73</v>
      </c>
      <c r="AV1087">
        <v>272</v>
      </c>
      <c r="AW1087" s="4">
        <v>42768</v>
      </c>
      <c r="BD1087">
        <v>0</v>
      </c>
      <c r="BN1087" t="s">
        <v>74</v>
      </c>
    </row>
    <row r="1088" spans="1:66">
      <c r="A1088">
        <v>101477</v>
      </c>
      <c r="B1088" t="s">
        <v>284</v>
      </c>
      <c r="C1088" s="1">
        <v>43300101</v>
      </c>
      <c r="D1088" t="s">
        <v>67</v>
      </c>
      <c r="H1088" t="str">
        <f t="shared" si="143"/>
        <v>00977960327</v>
      </c>
      <c r="I1088" t="str">
        <f t="shared" si="143"/>
        <v>00977960327</v>
      </c>
      <c r="K1088" t="str">
        <f>""</f>
        <v/>
      </c>
      <c r="M1088" t="s">
        <v>68</v>
      </c>
      <c r="N1088" t="str">
        <f t="shared" si="144"/>
        <v>FOR</v>
      </c>
      <c r="O1088" t="s">
        <v>69</v>
      </c>
      <c r="P1088" t="s">
        <v>75</v>
      </c>
      <c r="Q1088">
        <v>2016</v>
      </c>
      <c r="R1088" s="4">
        <v>42643</v>
      </c>
      <c r="S1088" s="2">
        <v>42654</v>
      </c>
      <c r="T1088" s="2">
        <v>42649</v>
      </c>
      <c r="U1088" s="4">
        <v>42709</v>
      </c>
      <c r="V1088" t="s">
        <v>71</v>
      </c>
      <c r="W1088" t="str">
        <f>"              519 PA"</f>
        <v xml:space="preserve">              519 PA</v>
      </c>
      <c r="X1088" s="1">
        <v>1486.88</v>
      </c>
      <c r="Y1088">
        <v>0</v>
      </c>
      <c r="Z1088" s="5">
        <v>1218.75</v>
      </c>
      <c r="AA1088" s="3">
        <v>59</v>
      </c>
      <c r="AB1088" s="5">
        <v>71906.25</v>
      </c>
      <c r="AC1088" s="1">
        <v>1218.75</v>
      </c>
      <c r="AD1088">
        <v>59</v>
      </c>
      <c r="AE1088" s="1">
        <v>71906.25</v>
      </c>
      <c r="AF1088">
        <v>0</v>
      </c>
      <c r="AJ1088">
        <v>0</v>
      </c>
      <c r="AK1088">
        <v>0</v>
      </c>
      <c r="AL1088">
        <v>0</v>
      </c>
      <c r="AM1088">
        <v>0</v>
      </c>
      <c r="AN1088">
        <v>0</v>
      </c>
      <c r="AO1088">
        <v>0</v>
      </c>
      <c r="AP1088" s="2">
        <v>42831</v>
      </c>
      <c r="AQ1088" t="s">
        <v>72</v>
      </c>
      <c r="AR1088" t="s">
        <v>72</v>
      </c>
      <c r="AS1088">
        <v>272</v>
      </c>
      <c r="AT1088" s="4">
        <v>42768</v>
      </c>
      <c r="AU1088" t="s">
        <v>73</v>
      </c>
      <c r="AV1088">
        <v>272</v>
      </c>
      <c r="AW1088" s="4">
        <v>42768</v>
      </c>
      <c r="BD1088">
        <v>0</v>
      </c>
      <c r="BN1088" t="s">
        <v>74</v>
      </c>
    </row>
    <row r="1089" spans="1:66">
      <c r="A1089">
        <v>101477</v>
      </c>
      <c r="B1089" t="s">
        <v>284</v>
      </c>
      <c r="C1089" s="1">
        <v>43300101</v>
      </c>
      <c r="D1089" t="s">
        <v>67</v>
      </c>
      <c r="H1089" t="str">
        <f t="shared" si="143"/>
        <v>00977960327</v>
      </c>
      <c r="I1089" t="str">
        <f t="shared" si="143"/>
        <v>00977960327</v>
      </c>
      <c r="K1089" t="str">
        <f>""</f>
        <v/>
      </c>
      <c r="M1089" t="s">
        <v>68</v>
      </c>
      <c r="N1089" t="str">
        <f t="shared" si="144"/>
        <v>FOR</v>
      </c>
      <c r="O1089" t="s">
        <v>69</v>
      </c>
      <c r="P1089" t="s">
        <v>75</v>
      </c>
      <c r="Q1089">
        <v>2016</v>
      </c>
      <c r="R1089" s="4">
        <v>42661</v>
      </c>
      <c r="S1089" s="2">
        <v>42670</v>
      </c>
      <c r="T1089" s="2">
        <v>42664</v>
      </c>
      <c r="U1089" s="4">
        <v>42724</v>
      </c>
      <c r="V1089" t="s">
        <v>71</v>
      </c>
      <c r="W1089" t="str">
        <f>"              552 PA"</f>
        <v xml:space="preserve">              552 PA</v>
      </c>
      <c r="X1089" s="1">
        <v>1482.91</v>
      </c>
      <c r="Y1089">
        <v>0</v>
      </c>
      <c r="Z1089" s="5">
        <v>1215.5</v>
      </c>
      <c r="AA1089" s="3">
        <v>59</v>
      </c>
      <c r="AB1089" s="5">
        <v>71714.5</v>
      </c>
      <c r="AC1089" s="1">
        <v>1215.5</v>
      </c>
      <c r="AD1089">
        <v>59</v>
      </c>
      <c r="AE1089" s="1">
        <v>71714.5</v>
      </c>
      <c r="AF1089">
        <v>0</v>
      </c>
      <c r="AJ1089">
        <v>0</v>
      </c>
      <c r="AK1089">
        <v>0</v>
      </c>
      <c r="AL1089">
        <v>0</v>
      </c>
      <c r="AM1089">
        <v>0</v>
      </c>
      <c r="AN1089">
        <v>0</v>
      </c>
      <c r="AO1089">
        <v>0</v>
      </c>
      <c r="AP1089" s="2">
        <v>42831</v>
      </c>
      <c r="AQ1089" t="s">
        <v>72</v>
      </c>
      <c r="AR1089" t="s">
        <v>72</v>
      </c>
      <c r="AS1089">
        <v>495</v>
      </c>
      <c r="AT1089" s="4">
        <v>42783</v>
      </c>
      <c r="AU1089" t="s">
        <v>73</v>
      </c>
      <c r="AV1089">
        <v>495</v>
      </c>
      <c r="AW1089" s="4">
        <v>42783</v>
      </c>
      <c r="BD1089">
        <v>0</v>
      </c>
      <c r="BN1089" t="s">
        <v>74</v>
      </c>
    </row>
    <row r="1090" spans="1:66">
      <c r="A1090">
        <v>101477</v>
      </c>
      <c r="B1090" t="s">
        <v>284</v>
      </c>
      <c r="C1090" s="1">
        <v>43300101</v>
      </c>
      <c r="D1090" t="s">
        <v>67</v>
      </c>
      <c r="H1090" t="str">
        <f t="shared" si="143"/>
        <v>00977960327</v>
      </c>
      <c r="I1090" t="str">
        <f t="shared" si="143"/>
        <v>00977960327</v>
      </c>
      <c r="K1090" t="str">
        <f>""</f>
        <v/>
      </c>
      <c r="M1090" t="s">
        <v>68</v>
      </c>
      <c r="N1090" t="str">
        <f t="shared" si="144"/>
        <v>FOR</v>
      </c>
      <c r="O1090" t="s">
        <v>69</v>
      </c>
      <c r="P1090" t="s">
        <v>75</v>
      </c>
      <c r="Q1090">
        <v>2016</v>
      </c>
      <c r="R1090" s="4">
        <v>42661</v>
      </c>
      <c r="S1090" s="2">
        <v>42670</v>
      </c>
      <c r="T1090" s="2">
        <v>42664</v>
      </c>
      <c r="U1090" s="4">
        <v>42724</v>
      </c>
      <c r="V1090" t="s">
        <v>71</v>
      </c>
      <c r="W1090" t="str">
        <f>"              557 PA"</f>
        <v xml:space="preserve">              557 PA</v>
      </c>
      <c r="X1090">
        <v>247.05</v>
      </c>
      <c r="Y1090">
        <v>0</v>
      </c>
      <c r="Z1090" s="5">
        <v>202.5</v>
      </c>
      <c r="AA1090" s="3">
        <v>59</v>
      </c>
      <c r="AB1090" s="5">
        <v>11947.5</v>
      </c>
      <c r="AC1090">
        <v>202.5</v>
      </c>
      <c r="AD1090">
        <v>59</v>
      </c>
      <c r="AE1090" s="1">
        <v>11947.5</v>
      </c>
      <c r="AF1090">
        <v>0</v>
      </c>
      <c r="AJ1090">
        <v>0</v>
      </c>
      <c r="AK1090">
        <v>0</v>
      </c>
      <c r="AL1090">
        <v>0</v>
      </c>
      <c r="AM1090">
        <v>0</v>
      </c>
      <c r="AN1090">
        <v>0</v>
      </c>
      <c r="AO1090">
        <v>0</v>
      </c>
      <c r="AP1090" s="2">
        <v>42831</v>
      </c>
      <c r="AQ1090" t="s">
        <v>72</v>
      </c>
      <c r="AR1090" t="s">
        <v>72</v>
      </c>
      <c r="AS1090">
        <v>495</v>
      </c>
      <c r="AT1090" s="4">
        <v>42783</v>
      </c>
      <c r="AU1090" t="s">
        <v>73</v>
      </c>
      <c r="AV1090">
        <v>495</v>
      </c>
      <c r="AW1090" s="4">
        <v>42783</v>
      </c>
      <c r="BD1090">
        <v>0</v>
      </c>
      <c r="BN1090" t="s">
        <v>74</v>
      </c>
    </row>
    <row r="1091" spans="1:66">
      <c r="A1091">
        <v>101477</v>
      </c>
      <c r="B1091" t="s">
        <v>284</v>
      </c>
      <c r="C1091" s="1">
        <v>43300101</v>
      </c>
      <c r="D1091" t="s">
        <v>67</v>
      </c>
      <c r="H1091" t="str">
        <f t="shared" si="143"/>
        <v>00977960327</v>
      </c>
      <c r="I1091" t="str">
        <f t="shared" si="143"/>
        <v>00977960327</v>
      </c>
      <c r="K1091" t="str">
        <f>""</f>
        <v/>
      </c>
      <c r="M1091" t="s">
        <v>68</v>
      </c>
      <c r="N1091" t="str">
        <f t="shared" si="144"/>
        <v>FOR</v>
      </c>
      <c r="O1091" t="s">
        <v>69</v>
      </c>
      <c r="P1091" t="s">
        <v>75</v>
      </c>
      <c r="Q1091">
        <v>2016</v>
      </c>
      <c r="R1091" s="4">
        <v>42661</v>
      </c>
      <c r="S1091" s="2">
        <v>42670</v>
      </c>
      <c r="T1091" s="2">
        <v>42664</v>
      </c>
      <c r="U1091" s="4">
        <v>42724</v>
      </c>
      <c r="V1091" t="s">
        <v>71</v>
      </c>
      <c r="W1091" t="str">
        <f>"              558 PA"</f>
        <v xml:space="preserve">              558 PA</v>
      </c>
      <c r="X1091">
        <v>261.69</v>
      </c>
      <c r="Y1091">
        <v>0</v>
      </c>
      <c r="Z1091" s="5">
        <v>214.5</v>
      </c>
      <c r="AA1091" s="3">
        <v>59</v>
      </c>
      <c r="AB1091" s="5">
        <v>12655.5</v>
      </c>
      <c r="AC1091">
        <v>214.5</v>
      </c>
      <c r="AD1091">
        <v>59</v>
      </c>
      <c r="AE1091" s="1">
        <v>12655.5</v>
      </c>
      <c r="AF1091">
        <v>0</v>
      </c>
      <c r="AJ1091">
        <v>0</v>
      </c>
      <c r="AK1091">
        <v>0</v>
      </c>
      <c r="AL1091">
        <v>0</v>
      </c>
      <c r="AM1091">
        <v>0</v>
      </c>
      <c r="AN1091">
        <v>0</v>
      </c>
      <c r="AO1091">
        <v>0</v>
      </c>
      <c r="AP1091" s="2">
        <v>42831</v>
      </c>
      <c r="AQ1091" t="s">
        <v>72</v>
      </c>
      <c r="AR1091" t="s">
        <v>72</v>
      </c>
      <c r="AS1091">
        <v>495</v>
      </c>
      <c r="AT1091" s="4">
        <v>42783</v>
      </c>
      <c r="AU1091" t="s">
        <v>73</v>
      </c>
      <c r="AV1091">
        <v>495</v>
      </c>
      <c r="AW1091" s="4">
        <v>42783</v>
      </c>
      <c r="BD1091">
        <v>0</v>
      </c>
      <c r="BN1091" t="s">
        <v>74</v>
      </c>
    </row>
    <row r="1092" spans="1:66">
      <c r="A1092">
        <v>101477</v>
      </c>
      <c r="B1092" t="s">
        <v>284</v>
      </c>
      <c r="C1092" s="1">
        <v>43300101</v>
      </c>
      <c r="D1092" t="s">
        <v>67</v>
      </c>
      <c r="H1092" t="str">
        <f t="shared" si="143"/>
        <v>00977960327</v>
      </c>
      <c r="I1092" t="str">
        <f t="shared" si="143"/>
        <v>00977960327</v>
      </c>
      <c r="K1092" t="str">
        <f>""</f>
        <v/>
      </c>
      <c r="M1092" t="s">
        <v>68</v>
      </c>
      <c r="N1092" t="str">
        <f t="shared" si="144"/>
        <v>FOR</v>
      </c>
      <c r="O1092" t="s">
        <v>69</v>
      </c>
      <c r="P1092" t="s">
        <v>75</v>
      </c>
      <c r="Q1092">
        <v>2016</v>
      </c>
      <c r="R1092" s="4">
        <v>42674</v>
      </c>
      <c r="S1092" s="2">
        <v>42682</v>
      </c>
      <c r="T1092" s="2">
        <v>42681</v>
      </c>
      <c r="U1092" s="4">
        <v>42741</v>
      </c>
      <c r="V1092" t="s">
        <v>71</v>
      </c>
      <c r="W1092" t="str">
        <f>"              585 PA"</f>
        <v xml:space="preserve">              585 PA</v>
      </c>
      <c r="X1092">
        <v>585.6</v>
      </c>
      <c r="Y1092">
        <v>0</v>
      </c>
      <c r="Z1092" s="5">
        <v>480</v>
      </c>
      <c r="AA1092" s="3">
        <v>42</v>
      </c>
      <c r="AB1092" s="5">
        <v>20160</v>
      </c>
      <c r="AC1092">
        <v>480</v>
      </c>
      <c r="AD1092">
        <v>42</v>
      </c>
      <c r="AE1092" s="1">
        <v>20160</v>
      </c>
      <c r="AF1092">
        <v>0</v>
      </c>
      <c r="AJ1092">
        <v>0</v>
      </c>
      <c r="AK1092">
        <v>0</v>
      </c>
      <c r="AL1092">
        <v>0</v>
      </c>
      <c r="AM1092">
        <v>0</v>
      </c>
      <c r="AN1092">
        <v>0</v>
      </c>
      <c r="AO1092">
        <v>0</v>
      </c>
      <c r="AP1092" s="2">
        <v>42831</v>
      </c>
      <c r="AQ1092" t="s">
        <v>72</v>
      </c>
      <c r="AR1092" t="s">
        <v>72</v>
      </c>
      <c r="AS1092">
        <v>495</v>
      </c>
      <c r="AT1092" s="4">
        <v>42783</v>
      </c>
      <c r="AU1092" t="s">
        <v>73</v>
      </c>
      <c r="AV1092">
        <v>495</v>
      </c>
      <c r="AW1092" s="4">
        <v>42783</v>
      </c>
      <c r="BD1092">
        <v>0</v>
      </c>
      <c r="BN1092" t="s">
        <v>74</v>
      </c>
    </row>
    <row r="1093" spans="1:66">
      <c r="A1093">
        <v>101477</v>
      </c>
      <c r="B1093" t="s">
        <v>284</v>
      </c>
      <c r="C1093" s="1">
        <v>43300101</v>
      </c>
      <c r="D1093" t="s">
        <v>67</v>
      </c>
      <c r="H1093" t="str">
        <f t="shared" si="143"/>
        <v>00977960327</v>
      </c>
      <c r="I1093" t="str">
        <f t="shared" si="143"/>
        <v>00977960327</v>
      </c>
      <c r="K1093" t="str">
        <f>""</f>
        <v/>
      </c>
      <c r="M1093" t="s">
        <v>68</v>
      </c>
      <c r="N1093" t="str">
        <f t="shared" si="144"/>
        <v>FOR</v>
      </c>
      <c r="O1093" t="s">
        <v>69</v>
      </c>
      <c r="P1093" t="s">
        <v>75</v>
      </c>
      <c r="Q1093">
        <v>2016</v>
      </c>
      <c r="R1093" s="4">
        <v>42689</v>
      </c>
      <c r="S1093" s="2">
        <v>42695</v>
      </c>
      <c r="T1093" s="2">
        <v>42692</v>
      </c>
      <c r="U1093" s="4">
        <v>42752</v>
      </c>
      <c r="V1093" t="s">
        <v>71</v>
      </c>
      <c r="W1093" t="str">
        <f>"              610 PA"</f>
        <v xml:space="preserve">              610 PA</v>
      </c>
      <c r="X1093">
        <v>786.9</v>
      </c>
      <c r="Y1093">
        <v>0</v>
      </c>
      <c r="Z1093" s="5">
        <v>645</v>
      </c>
      <c r="AA1093" s="3">
        <v>31</v>
      </c>
      <c r="AB1093" s="5">
        <v>19995</v>
      </c>
      <c r="AC1093">
        <v>645</v>
      </c>
      <c r="AD1093">
        <v>31</v>
      </c>
      <c r="AE1093" s="1">
        <v>19995</v>
      </c>
      <c r="AF1093">
        <v>0</v>
      </c>
      <c r="AJ1093">
        <v>0</v>
      </c>
      <c r="AK1093">
        <v>0</v>
      </c>
      <c r="AL1093">
        <v>0</v>
      </c>
      <c r="AM1093">
        <v>0</v>
      </c>
      <c r="AN1093">
        <v>0</v>
      </c>
      <c r="AO1093">
        <v>0</v>
      </c>
      <c r="AP1093" s="2">
        <v>42831</v>
      </c>
      <c r="AQ1093" t="s">
        <v>72</v>
      </c>
      <c r="AR1093" t="s">
        <v>72</v>
      </c>
      <c r="AS1093">
        <v>495</v>
      </c>
      <c r="AT1093" s="4">
        <v>42783</v>
      </c>
      <c r="AU1093" t="s">
        <v>73</v>
      </c>
      <c r="AV1093">
        <v>495</v>
      </c>
      <c r="AW1093" s="4">
        <v>42783</v>
      </c>
      <c r="BD1093">
        <v>0</v>
      </c>
      <c r="BN1093" t="s">
        <v>74</v>
      </c>
    </row>
    <row r="1094" spans="1:66">
      <c r="A1094">
        <v>101477</v>
      </c>
      <c r="B1094" t="s">
        <v>284</v>
      </c>
      <c r="C1094" s="1">
        <v>43300101</v>
      </c>
      <c r="D1094" t="s">
        <v>67</v>
      </c>
      <c r="H1094" t="str">
        <f t="shared" si="143"/>
        <v>00977960327</v>
      </c>
      <c r="I1094" t="str">
        <f t="shared" si="143"/>
        <v>00977960327</v>
      </c>
      <c r="K1094" t="str">
        <f>""</f>
        <v/>
      </c>
      <c r="M1094" t="s">
        <v>68</v>
      </c>
      <c r="N1094" t="str">
        <f t="shared" si="144"/>
        <v>FOR</v>
      </c>
      <c r="O1094" t="s">
        <v>69</v>
      </c>
      <c r="P1094" t="s">
        <v>75</v>
      </c>
      <c r="Q1094">
        <v>2016</v>
      </c>
      <c r="R1094" s="4">
        <v>42718</v>
      </c>
      <c r="S1094" s="2">
        <v>42723</v>
      </c>
      <c r="T1094" s="2">
        <v>42720</v>
      </c>
      <c r="U1094" s="4">
        <v>42780</v>
      </c>
      <c r="V1094" t="s">
        <v>71</v>
      </c>
      <c r="W1094" t="str">
        <f>"              659 PA"</f>
        <v xml:space="preserve">              659 PA</v>
      </c>
      <c r="X1094" s="1">
        <v>3074.4</v>
      </c>
      <c r="Y1094">
        <v>0</v>
      </c>
      <c r="Z1094" s="5">
        <v>2520</v>
      </c>
      <c r="AA1094" s="3">
        <v>3</v>
      </c>
      <c r="AB1094" s="5">
        <v>7560</v>
      </c>
      <c r="AC1094" s="1">
        <v>2520</v>
      </c>
      <c r="AD1094">
        <v>3</v>
      </c>
      <c r="AE1094" s="1">
        <v>7560</v>
      </c>
      <c r="AF1094">
        <v>0</v>
      </c>
      <c r="AJ1094">
        <v>0</v>
      </c>
      <c r="AK1094">
        <v>0</v>
      </c>
      <c r="AL1094">
        <v>0</v>
      </c>
      <c r="AM1094">
        <v>0</v>
      </c>
      <c r="AN1094">
        <v>0</v>
      </c>
      <c r="AO1094">
        <v>0</v>
      </c>
      <c r="AP1094" s="2">
        <v>42831</v>
      </c>
      <c r="AQ1094" t="s">
        <v>72</v>
      </c>
      <c r="AR1094" t="s">
        <v>72</v>
      </c>
      <c r="AS1094">
        <v>495</v>
      </c>
      <c r="AT1094" s="4">
        <v>42783</v>
      </c>
      <c r="AU1094" t="s">
        <v>73</v>
      </c>
      <c r="AV1094">
        <v>495</v>
      </c>
      <c r="AW1094" s="4">
        <v>42783</v>
      </c>
      <c r="BD1094">
        <v>0</v>
      </c>
      <c r="BN1094" t="s">
        <v>74</v>
      </c>
    </row>
    <row r="1095" spans="1:66">
      <c r="A1095">
        <v>101483</v>
      </c>
      <c r="B1095" t="s">
        <v>285</v>
      </c>
      <c r="C1095" s="1">
        <v>43500101</v>
      </c>
      <c r="D1095" t="s">
        <v>98</v>
      </c>
      <c r="H1095" t="str">
        <f>"LNDGLM73C31A024I"</f>
        <v>LNDGLM73C31A024I</v>
      </c>
      <c r="I1095" t="str">
        <f>"04360741211"</f>
        <v>04360741211</v>
      </c>
      <c r="K1095" t="str">
        <f>""</f>
        <v/>
      </c>
      <c r="M1095" t="s">
        <v>68</v>
      </c>
      <c r="N1095" t="str">
        <f>"ALTPRO"</f>
        <v>ALTPRO</v>
      </c>
      <c r="O1095" t="s">
        <v>116</v>
      </c>
      <c r="P1095" t="s">
        <v>75</v>
      </c>
      <c r="Q1095">
        <v>2017</v>
      </c>
      <c r="R1095" s="4">
        <v>42745</v>
      </c>
      <c r="S1095" s="2">
        <v>42747</v>
      </c>
      <c r="T1095" s="2">
        <v>42745</v>
      </c>
      <c r="U1095" s="4">
        <v>42805</v>
      </c>
      <c r="V1095" t="s">
        <v>71</v>
      </c>
      <c r="W1095" t="str">
        <f>"         FATTPA 1_17"</f>
        <v xml:space="preserve">         FATTPA 1_17</v>
      </c>
      <c r="X1095">
        <v>494.89</v>
      </c>
      <c r="Y1095">
        <v>-98.98</v>
      </c>
      <c r="Z1095" s="5">
        <v>395.91</v>
      </c>
      <c r="AA1095" s="3">
        <v>-40</v>
      </c>
      <c r="AB1095" s="5">
        <v>-15836.4</v>
      </c>
      <c r="AC1095">
        <v>395.91</v>
      </c>
      <c r="AD1095">
        <v>-40</v>
      </c>
      <c r="AE1095" s="1">
        <v>-15836.4</v>
      </c>
      <c r="AF1095">
        <v>0</v>
      </c>
      <c r="AJ1095">
        <v>-98.98</v>
      </c>
      <c r="AK1095">
        <v>395.91</v>
      </c>
      <c r="AL1095">
        <v>395.91</v>
      </c>
      <c r="AM1095">
        <v>-98.98</v>
      </c>
      <c r="AN1095">
        <v>395.91</v>
      </c>
      <c r="AO1095">
        <v>395.91</v>
      </c>
      <c r="AP1095" s="2">
        <v>42831</v>
      </c>
      <c r="AQ1095" t="s">
        <v>72</v>
      </c>
      <c r="AR1095" t="s">
        <v>72</v>
      </c>
      <c r="AS1095">
        <v>123</v>
      </c>
      <c r="AT1095" s="4">
        <v>42765</v>
      </c>
      <c r="AV1095">
        <v>123</v>
      </c>
      <c r="AW1095" s="4">
        <v>42765</v>
      </c>
      <c r="BD1095">
        <v>0</v>
      </c>
      <c r="BN1095" t="s">
        <v>74</v>
      </c>
    </row>
    <row r="1096" spans="1:66">
      <c r="A1096">
        <v>101483</v>
      </c>
      <c r="B1096" t="s">
        <v>285</v>
      </c>
      <c r="C1096" s="1">
        <v>43500101</v>
      </c>
      <c r="D1096" t="s">
        <v>98</v>
      </c>
      <c r="H1096" t="str">
        <f>"LNDGLM73C31A024I"</f>
        <v>LNDGLM73C31A024I</v>
      </c>
      <c r="I1096" t="str">
        <f>"04360741211"</f>
        <v>04360741211</v>
      </c>
      <c r="K1096" t="str">
        <f>""</f>
        <v/>
      </c>
      <c r="M1096" t="s">
        <v>68</v>
      </c>
      <c r="N1096" t="str">
        <f>"ALTPRO"</f>
        <v>ALTPRO</v>
      </c>
      <c r="O1096" t="s">
        <v>116</v>
      </c>
      <c r="P1096" t="s">
        <v>75</v>
      </c>
      <c r="Q1096">
        <v>2017</v>
      </c>
      <c r="R1096" s="4">
        <v>42773</v>
      </c>
      <c r="S1096" s="2">
        <v>42774</v>
      </c>
      <c r="T1096" s="2">
        <v>42773</v>
      </c>
      <c r="U1096" s="4">
        <v>42833</v>
      </c>
      <c r="V1096" t="s">
        <v>71</v>
      </c>
      <c r="W1096" t="str">
        <f>"         FATTPA 2_17"</f>
        <v xml:space="preserve">         FATTPA 2_17</v>
      </c>
      <c r="X1096" s="1">
        <v>1264.32</v>
      </c>
      <c r="Y1096">
        <v>-252.86</v>
      </c>
      <c r="Z1096" s="5">
        <v>1011.46</v>
      </c>
      <c r="AA1096" s="3">
        <v>-57</v>
      </c>
      <c r="AB1096" s="5">
        <v>-57653.22</v>
      </c>
      <c r="AC1096" s="1">
        <v>1011.46</v>
      </c>
      <c r="AD1096">
        <v>-57</v>
      </c>
      <c r="AE1096" s="1">
        <v>-57653.22</v>
      </c>
      <c r="AF1096">
        <v>0</v>
      </c>
      <c r="AJ1096" s="1">
        <v>1011.46</v>
      </c>
      <c r="AK1096" s="1">
        <v>1011.46</v>
      </c>
      <c r="AL1096" s="1">
        <v>1011.46</v>
      </c>
      <c r="AM1096" s="1">
        <v>1011.46</v>
      </c>
      <c r="AN1096" s="1">
        <v>1011.46</v>
      </c>
      <c r="AO1096" s="1">
        <v>1011.46</v>
      </c>
      <c r="AP1096" s="2">
        <v>42831</v>
      </c>
      <c r="AQ1096" t="s">
        <v>72</v>
      </c>
      <c r="AR1096" t="s">
        <v>72</v>
      </c>
      <c r="AS1096">
        <v>397</v>
      </c>
      <c r="AT1096" s="4">
        <v>42776</v>
      </c>
      <c r="AV1096">
        <v>397</v>
      </c>
      <c r="AW1096" s="4">
        <v>42776</v>
      </c>
      <c r="BD1096">
        <v>0</v>
      </c>
      <c r="BN1096" t="s">
        <v>74</v>
      </c>
    </row>
    <row r="1097" spans="1:66">
      <c r="A1097">
        <v>101483</v>
      </c>
      <c r="B1097" t="s">
        <v>285</v>
      </c>
      <c r="C1097" s="1">
        <v>43500101</v>
      </c>
      <c r="D1097" t="s">
        <v>98</v>
      </c>
      <c r="H1097" t="str">
        <f>"LNDGLM73C31A024I"</f>
        <v>LNDGLM73C31A024I</v>
      </c>
      <c r="I1097" t="str">
        <f>"04360741211"</f>
        <v>04360741211</v>
      </c>
      <c r="K1097" t="str">
        <f>""</f>
        <v/>
      </c>
      <c r="M1097" t="s">
        <v>68</v>
      </c>
      <c r="N1097" t="str">
        <f>"ALTPRO"</f>
        <v>ALTPRO</v>
      </c>
      <c r="O1097" t="s">
        <v>116</v>
      </c>
      <c r="P1097" t="s">
        <v>75</v>
      </c>
      <c r="Q1097">
        <v>2017</v>
      </c>
      <c r="R1097" s="4">
        <v>42795</v>
      </c>
      <c r="S1097" s="2">
        <v>42796</v>
      </c>
      <c r="T1097" s="2">
        <v>42795</v>
      </c>
      <c r="U1097" s="4">
        <v>42855</v>
      </c>
      <c r="V1097" t="s">
        <v>71</v>
      </c>
      <c r="W1097" t="str">
        <f>"         FATTPA 3_17"</f>
        <v xml:space="preserve">         FATTPA 3_17</v>
      </c>
      <c r="X1097" s="1">
        <v>1246.76</v>
      </c>
      <c r="Y1097">
        <v>-249.35</v>
      </c>
      <c r="Z1097" s="5">
        <v>997.41</v>
      </c>
      <c r="AA1097" s="3">
        <v>-59</v>
      </c>
      <c r="AB1097" s="5">
        <v>-58847.19</v>
      </c>
      <c r="AC1097">
        <v>997.41</v>
      </c>
      <c r="AD1097">
        <v>-59</v>
      </c>
      <c r="AE1097" s="1">
        <v>-58847.19</v>
      </c>
      <c r="AF1097">
        <v>0</v>
      </c>
      <c r="AJ1097">
        <v>997.41</v>
      </c>
      <c r="AK1097">
        <v>997.41</v>
      </c>
      <c r="AL1097">
        <v>997.41</v>
      </c>
      <c r="AM1097">
        <v>997.41</v>
      </c>
      <c r="AN1097">
        <v>997.41</v>
      </c>
      <c r="AO1097">
        <v>997.41</v>
      </c>
      <c r="AP1097" s="2">
        <v>42831</v>
      </c>
      <c r="AQ1097" t="s">
        <v>72</v>
      </c>
      <c r="AR1097" t="s">
        <v>72</v>
      </c>
      <c r="AS1097">
        <v>696</v>
      </c>
      <c r="AT1097" s="4">
        <v>42796</v>
      </c>
      <c r="AV1097">
        <v>696</v>
      </c>
      <c r="AW1097" s="4">
        <v>42796</v>
      </c>
      <c r="BD1097">
        <v>0</v>
      </c>
      <c r="BN1097" t="s">
        <v>74</v>
      </c>
    </row>
    <row r="1098" spans="1:66" hidden="1">
      <c r="A1098">
        <v>101484</v>
      </c>
      <c r="B1098" t="s">
        <v>286</v>
      </c>
      <c r="C1098" s="1">
        <v>43300101</v>
      </c>
      <c r="D1098" t="s">
        <v>67</v>
      </c>
      <c r="H1098" t="str">
        <f>""</f>
        <v/>
      </c>
      <c r="I1098" t="str">
        <f>"01372690626"</f>
        <v>01372690626</v>
      </c>
      <c r="K1098" t="str">
        <f>""</f>
        <v/>
      </c>
      <c r="M1098" t="s">
        <v>68</v>
      </c>
      <c r="N1098" t="str">
        <f>"FOR"</f>
        <v>FOR</v>
      </c>
      <c r="O1098" t="s">
        <v>69</v>
      </c>
      <c r="P1098" t="s">
        <v>82</v>
      </c>
      <c r="Q1098">
        <v>2017</v>
      </c>
      <c r="R1098" s="4">
        <v>42755</v>
      </c>
      <c r="S1098" s="2">
        <v>42755</v>
      </c>
      <c r="T1098" s="2">
        <v>42755</v>
      </c>
      <c r="U1098" s="4">
        <v>42815</v>
      </c>
      <c r="V1098" t="s">
        <v>71</v>
      </c>
      <c r="W1098" t="str">
        <f>"                0120"</f>
        <v xml:space="preserve">                0120</v>
      </c>
      <c r="X1098">
        <v>0</v>
      </c>
      <c r="Y1098" s="1">
        <v>2156.0500000000002</v>
      </c>
      <c r="Z1098" s="5">
        <v>2156.0500000000002</v>
      </c>
      <c r="AA1098" s="3">
        <v>-57</v>
      </c>
      <c r="AB1098" s="5">
        <v>-122894.85</v>
      </c>
      <c r="AC1098" s="1">
        <v>2156.0500000000002</v>
      </c>
      <c r="AD1098">
        <v>-57</v>
      </c>
      <c r="AE1098" s="1">
        <v>-122894.85</v>
      </c>
      <c r="AF1098">
        <v>0</v>
      </c>
      <c r="AJ1098" s="1">
        <v>2156.0500000000002</v>
      </c>
      <c r="AK1098" s="1">
        <v>2156.0500000000002</v>
      </c>
      <c r="AL1098" s="1">
        <v>2156.0500000000002</v>
      </c>
      <c r="AM1098" s="1">
        <v>2156.0500000000002</v>
      </c>
      <c r="AN1098" s="1">
        <v>2156.0500000000002</v>
      </c>
      <c r="AO1098" s="1">
        <v>2156.0500000000002</v>
      </c>
      <c r="AP1098" s="2">
        <v>42831</v>
      </c>
      <c r="AQ1098" t="s">
        <v>72</v>
      </c>
      <c r="AR1098" t="s">
        <v>72</v>
      </c>
      <c r="AS1098">
        <v>54</v>
      </c>
      <c r="AT1098" s="4">
        <v>42758</v>
      </c>
      <c r="AV1098">
        <v>54</v>
      </c>
      <c r="AW1098" s="4">
        <v>42758</v>
      </c>
      <c r="BD1098">
        <v>0</v>
      </c>
      <c r="BN1098" t="s">
        <v>74</v>
      </c>
    </row>
    <row r="1099" spans="1:66" hidden="1">
      <c r="A1099">
        <v>101484</v>
      </c>
      <c r="B1099" t="s">
        <v>286</v>
      </c>
      <c r="C1099" s="1">
        <v>43300101</v>
      </c>
      <c r="D1099" t="s">
        <v>67</v>
      </c>
      <c r="H1099" t="str">
        <f>""</f>
        <v/>
      </c>
      <c r="I1099" t="str">
        <f>"01372690626"</f>
        <v>01372690626</v>
      </c>
      <c r="K1099" t="str">
        <f>""</f>
        <v/>
      </c>
      <c r="M1099" t="s">
        <v>68</v>
      </c>
      <c r="N1099" t="str">
        <f>"FOR"</f>
        <v>FOR</v>
      </c>
      <c r="O1099" t="s">
        <v>69</v>
      </c>
      <c r="P1099" t="s">
        <v>83</v>
      </c>
      <c r="Q1099">
        <v>2017</v>
      </c>
      <c r="R1099" s="4">
        <v>42786</v>
      </c>
      <c r="S1099" s="2">
        <v>42787</v>
      </c>
      <c r="T1099" s="2">
        <v>42787</v>
      </c>
      <c r="U1099" s="4">
        <v>42847</v>
      </c>
      <c r="V1099" t="s">
        <v>71</v>
      </c>
      <c r="W1099" t="str">
        <f>"                0220"</f>
        <v xml:space="preserve">                0220</v>
      </c>
      <c r="X1099">
        <v>0</v>
      </c>
      <c r="Y1099" s="1">
        <v>2451.0100000000002</v>
      </c>
      <c r="Z1099" s="5">
        <v>2451.0100000000002</v>
      </c>
      <c r="AA1099" s="3">
        <v>-60</v>
      </c>
      <c r="AB1099" s="5">
        <v>-147060.6</v>
      </c>
      <c r="AC1099" s="1">
        <v>2451.0100000000002</v>
      </c>
      <c r="AD1099">
        <v>-60</v>
      </c>
      <c r="AE1099" s="1">
        <v>-147060.6</v>
      </c>
      <c r="AF1099">
        <v>0</v>
      </c>
      <c r="AJ1099" s="1">
        <v>2451.0100000000002</v>
      </c>
      <c r="AK1099" s="1">
        <v>2451.0100000000002</v>
      </c>
      <c r="AL1099" s="1">
        <v>2451.0100000000002</v>
      </c>
      <c r="AM1099" s="1">
        <v>2451.0100000000002</v>
      </c>
      <c r="AN1099" s="1">
        <v>2451.0100000000002</v>
      </c>
      <c r="AO1099" s="1">
        <v>2451.0100000000002</v>
      </c>
      <c r="AP1099" s="2">
        <v>42831</v>
      </c>
      <c r="AQ1099" t="s">
        <v>72</v>
      </c>
      <c r="AR1099" t="s">
        <v>72</v>
      </c>
      <c r="AS1099">
        <v>534</v>
      </c>
      <c r="AT1099" s="4">
        <v>42787</v>
      </c>
      <c r="AV1099">
        <v>534</v>
      </c>
      <c r="AW1099" s="4">
        <v>42787</v>
      </c>
      <c r="BD1099">
        <v>0</v>
      </c>
      <c r="BN1099" t="s">
        <v>74</v>
      </c>
    </row>
    <row r="1100" spans="1:66" hidden="1">
      <c r="A1100">
        <v>101484</v>
      </c>
      <c r="B1100" t="s">
        <v>286</v>
      </c>
      <c r="C1100" s="1">
        <v>43300101</v>
      </c>
      <c r="D1100" t="s">
        <v>67</v>
      </c>
      <c r="H1100" t="str">
        <f>""</f>
        <v/>
      </c>
      <c r="I1100" t="str">
        <f>"01372690626"</f>
        <v>01372690626</v>
      </c>
      <c r="K1100" t="str">
        <f>""</f>
        <v/>
      </c>
      <c r="M1100" t="s">
        <v>68</v>
      </c>
      <c r="N1100" t="str">
        <f>"FOR"</f>
        <v>FOR</v>
      </c>
      <c r="O1100" t="s">
        <v>69</v>
      </c>
      <c r="P1100" t="s">
        <v>84</v>
      </c>
      <c r="Q1100">
        <v>2017</v>
      </c>
      <c r="R1100" s="4">
        <v>42815</v>
      </c>
      <c r="S1100" s="2">
        <v>42815</v>
      </c>
      <c r="T1100" s="2">
        <v>42815</v>
      </c>
      <c r="U1100" s="4">
        <v>42875</v>
      </c>
      <c r="V1100" t="s">
        <v>71</v>
      </c>
      <c r="W1100" t="str">
        <f>"                0321"</f>
        <v xml:space="preserve">                0321</v>
      </c>
      <c r="X1100">
        <v>0</v>
      </c>
      <c r="Y1100" s="1">
        <v>2451.0100000000002</v>
      </c>
      <c r="Z1100" s="5">
        <v>2451.0100000000002</v>
      </c>
      <c r="AA1100" s="3">
        <v>-60</v>
      </c>
      <c r="AB1100" s="5">
        <v>-147060.6</v>
      </c>
      <c r="AC1100" s="1">
        <v>2451.0100000000002</v>
      </c>
      <c r="AD1100">
        <v>-60</v>
      </c>
      <c r="AE1100" s="1">
        <v>-147060.6</v>
      </c>
      <c r="AF1100">
        <v>0</v>
      </c>
      <c r="AJ1100" s="1">
        <v>2451.0100000000002</v>
      </c>
      <c r="AK1100" s="1">
        <v>2451.0100000000002</v>
      </c>
      <c r="AL1100" s="1">
        <v>2451.0100000000002</v>
      </c>
      <c r="AM1100" s="1">
        <v>2451.0100000000002</v>
      </c>
      <c r="AN1100" s="1">
        <v>2451.0100000000002</v>
      </c>
      <c r="AO1100" s="1">
        <v>2451.0100000000002</v>
      </c>
      <c r="AP1100" s="2">
        <v>42831</v>
      </c>
      <c r="AQ1100" t="s">
        <v>72</v>
      </c>
      <c r="AR1100" t="s">
        <v>72</v>
      </c>
      <c r="AS1100">
        <v>831</v>
      </c>
      <c r="AT1100" s="4">
        <v>42815</v>
      </c>
      <c r="AV1100">
        <v>831</v>
      </c>
      <c r="AW1100" s="4">
        <v>42815</v>
      </c>
      <c r="BD1100">
        <v>0</v>
      </c>
      <c r="BN1100" t="s">
        <v>74</v>
      </c>
    </row>
    <row r="1101" spans="1:66" hidden="1">
      <c r="A1101">
        <v>101485</v>
      </c>
      <c r="B1101" t="s">
        <v>287</v>
      </c>
      <c r="C1101" s="1">
        <v>43500101</v>
      </c>
      <c r="D1101" t="s">
        <v>98</v>
      </c>
      <c r="H1101" t="str">
        <f>""</f>
        <v/>
      </c>
      <c r="I1101" t="str">
        <f>""</f>
        <v/>
      </c>
      <c r="K1101" t="str">
        <f>""</f>
        <v/>
      </c>
      <c r="M1101" t="s">
        <v>68</v>
      </c>
      <c r="N1101" t="str">
        <f>"ALT"</f>
        <v>ALT</v>
      </c>
      <c r="O1101" t="s">
        <v>99</v>
      </c>
      <c r="P1101" t="s">
        <v>82</v>
      </c>
      <c r="Q1101">
        <v>2017</v>
      </c>
      <c r="R1101" s="4">
        <v>42755</v>
      </c>
      <c r="S1101" s="2">
        <v>42755</v>
      </c>
      <c r="T1101" s="2">
        <v>42755</v>
      </c>
      <c r="U1101" s="4">
        <v>42815</v>
      </c>
      <c r="V1101" t="s">
        <v>71</v>
      </c>
      <c r="W1101" t="str">
        <f>"                0120"</f>
        <v xml:space="preserve">                0120</v>
      </c>
      <c r="X1101">
        <v>0</v>
      </c>
      <c r="Y1101">
        <v>441.47</v>
      </c>
      <c r="Z1101" s="3">
        <v>441.47</v>
      </c>
      <c r="AA1101" s="3">
        <v>-57</v>
      </c>
      <c r="AB1101" s="5">
        <v>-25163.79</v>
      </c>
      <c r="AC1101">
        <v>441.47</v>
      </c>
      <c r="AD1101">
        <v>-57</v>
      </c>
      <c r="AE1101" s="1">
        <v>-25163.79</v>
      </c>
      <c r="AF1101">
        <v>0</v>
      </c>
      <c r="AJ1101">
        <v>441.47</v>
      </c>
      <c r="AK1101">
        <v>441.47</v>
      </c>
      <c r="AL1101">
        <v>441.47</v>
      </c>
      <c r="AM1101">
        <v>441.47</v>
      </c>
      <c r="AN1101">
        <v>441.47</v>
      </c>
      <c r="AO1101">
        <v>441.47</v>
      </c>
      <c r="AP1101" s="2">
        <v>42831</v>
      </c>
      <c r="AQ1101" t="s">
        <v>72</v>
      </c>
      <c r="AR1101" t="s">
        <v>72</v>
      </c>
      <c r="AS1101">
        <v>55</v>
      </c>
      <c r="AT1101" s="4">
        <v>42758</v>
      </c>
      <c r="AV1101">
        <v>55</v>
      </c>
      <c r="AW1101" s="4">
        <v>42758</v>
      </c>
      <c r="BD1101">
        <v>0</v>
      </c>
      <c r="BN1101" t="s">
        <v>74</v>
      </c>
    </row>
    <row r="1102" spans="1:66" hidden="1">
      <c r="A1102">
        <v>101485</v>
      </c>
      <c r="B1102" t="s">
        <v>287</v>
      </c>
      <c r="C1102" s="1">
        <v>43500101</v>
      </c>
      <c r="D1102" t="s">
        <v>98</v>
      </c>
      <c r="H1102" t="str">
        <f>""</f>
        <v/>
      </c>
      <c r="I1102" t="str">
        <f>""</f>
        <v/>
      </c>
      <c r="K1102" t="str">
        <f>""</f>
        <v/>
      </c>
      <c r="M1102" t="s">
        <v>68</v>
      </c>
      <c r="N1102" t="str">
        <f>"ALT"</f>
        <v>ALT</v>
      </c>
      <c r="O1102" t="s">
        <v>99</v>
      </c>
      <c r="P1102" t="s">
        <v>83</v>
      </c>
      <c r="Q1102">
        <v>2017</v>
      </c>
      <c r="R1102" s="4">
        <v>42786</v>
      </c>
      <c r="S1102" s="2">
        <v>42787</v>
      </c>
      <c r="T1102" s="2">
        <v>42787</v>
      </c>
      <c r="U1102" s="4">
        <v>42847</v>
      </c>
      <c r="V1102" t="s">
        <v>71</v>
      </c>
      <c r="W1102" t="str">
        <f>"                0220"</f>
        <v xml:space="preserve">                0220</v>
      </c>
      <c r="X1102">
        <v>0</v>
      </c>
      <c r="Y1102">
        <v>425.22</v>
      </c>
      <c r="Z1102" s="3">
        <v>425.22</v>
      </c>
      <c r="AA1102" s="3">
        <v>-60</v>
      </c>
      <c r="AB1102" s="5">
        <v>-25513.200000000001</v>
      </c>
      <c r="AC1102">
        <v>425.22</v>
      </c>
      <c r="AD1102">
        <v>-60</v>
      </c>
      <c r="AE1102" s="1">
        <v>-25513.200000000001</v>
      </c>
      <c r="AF1102">
        <v>0</v>
      </c>
      <c r="AJ1102">
        <v>425.22</v>
      </c>
      <c r="AK1102">
        <v>425.22</v>
      </c>
      <c r="AL1102">
        <v>425.22</v>
      </c>
      <c r="AM1102">
        <v>425.22</v>
      </c>
      <c r="AN1102">
        <v>425.22</v>
      </c>
      <c r="AO1102">
        <v>425.22</v>
      </c>
      <c r="AP1102" s="2">
        <v>42831</v>
      </c>
      <c r="AQ1102" t="s">
        <v>72</v>
      </c>
      <c r="AR1102" t="s">
        <v>72</v>
      </c>
      <c r="AS1102">
        <v>535</v>
      </c>
      <c r="AT1102" s="4">
        <v>42787</v>
      </c>
      <c r="AV1102">
        <v>535</v>
      </c>
      <c r="AW1102" s="4">
        <v>42787</v>
      </c>
      <c r="BD1102">
        <v>0</v>
      </c>
      <c r="BN1102" t="s">
        <v>74</v>
      </c>
    </row>
    <row r="1103" spans="1:66" hidden="1">
      <c r="A1103">
        <v>101485</v>
      </c>
      <c r="B1103" t="s">
        <v>287</v>
      </c>
      <c r="C1103" s="1">
        <v>43500101</v>
      </c>
      <c r="D1103" t="s">
        <v>98</v>
      </c>
      <c r="H1103" t="str">
        <f>""</f>
        <v/>
      </c>
      <c r="I1103" t="str">
        <f>""</f>
        <v/>
      </c>
      <c r="K1103" t="str">
        <f>""</f>
        <v/>
      </c>
      <c r="M1103" t="s">
        <v>68</v>
      </c>
      <c r="N1103" t="str">
        <f>"ALT"</f>
        <v>ALT</v>
      </c>
      <c r="O1103" t="s">
        <v>99</v>
      </c>
      <c r="P1103" t="s">
        <v>84</v>
      </c>
      <c r="Q1103">
        <v>2017</v>
      </c>
      <c r="R1103" s="4">
        <v>42815</v>
      </c>
      <c r="S1103" s="2">
        <v>42815</v>
      </c>
      <c r="T1103" s="2">
        <v>42815</v>
      </c>
      <c r="U1103" s="4">
        <v>42875</v>
      </c>
      <c r="V1103" t="s">
        <v>71</v>
      </c>
      <c r="W1103" t="str">
        <f>"                0321"</f>
        <v xml:space="preserve">                0321</v>
      </c>
      <c r="X1103">
        <v>0</v>
      </c>
      <c r="Y1103">
        <v>425.22</v>
      </c>
      <c r="Z1103" s="3">
        <v>425.22</v>
      </c>
      <c r="AA1103" s="3">
        <v>-60</v>
      </c>
      <c r="AB1103" s="5">
        <v>-25513.200000000001</v>
      </c>
      <c r="AC1103">
        <v>425.22</v>
      </c>
      <c r="AD1103">
        <v>-60</v>
      </c>
      <c r="AE1103" s="1">
        <v>-25513.200000000001</v>
      </c>
      <c r="AF1103">
        <v>0</v>
      </c>
      <c r="AJ1103">
        <v>425.22</v>
      </c>
      <c r="AK1103">
        <v>425.22</v>
      </c>
      <c r="AL1103">
        <v>425.22</v>
      </c>
      <c r="AM1103">
        <v>425.22</v>
      </c>
      <c r="AN1103">
        <v>425.22</v>
      </c>
      <c r="AO1103">
        <v>425.22</v>
      </c>
      <c r="AP1103" s="2">
        <v>42831</v>
      </c>
      <c r="AQ1103" t="s">
        <v>72</v>
      </c>
      <c r="AR1103" t="s">
        <v>72</v>
      </c>
      <c r="AS1103">
        <v>832</v>
      </c>
      <c r="AT1103" s="4">
        <v>42815</v>
      </c>
      <c r="AV1103">
        <v>832</v>
      </c>
      <c r="AW1103" s="4">
        <v>42815</v>
      </c>
      <c r="BD1103">
        <v>0</v>
      </c>
      <c r="BN1103" t="s">
        <v>74</v>
      </c>
    </row>
    <row r="1104" spans="1:66">
      <c r="A1104">
        <v>101492</v>
      </c>
      <c r="B1104" t="s">
        <v>288</v>
      </c>
      <c r="C1104" s="1">
        <v>43300101</v>
      </c>
      <c r="D1104" t="s">
        <v>67</v>
      </c>
      <c r="H1104" t="str">
        <f>""</f>
        <v/>
      </c>
      <c r="I1104" t="str">
        <f>"04488650484"</f>
        <v>04488650484</v>
      </c>
      <c r="K1104" t="str">
        <f>""</f>
        <v/>
      </c>
      <c r="M1104" t="s">
        <v>68</v>
      </c>
      <c r="N1104" t="str">
        <f>"FOR"</f>
        <v>FOR</v>
      </c>
      <c r="O1104" t="s">
        <v>69</v>
      </c>
      <c r="P1104" t="s">
        <v>158</v>
      </c>
      <c r="Q1104">
        <v>2013</v>
      </c>
      <c r="R1104" s="4">
        <v>41543</v>
      </c>
      <c r="S1104" s="2">
        <v>41555</v>
      </c>
      <c r="T1104" s="2">
        <v>41555</v>
      </c>
      <c r="U1104" s="4">
        <v>41645</v>
      </c>
      <c r="V1104" t="s">
        <v>71</v>
      </c>
      <c r="W1104" t="str">
        <f>"             9131925"</f>
        <v xml:space="preserve">             9131925</v>
      </c>
      <c r="X1104" s="1">
        <v>30353.73</v>
      </c>
      <c r="Y1104">
        <v>0</v>
      </c>
      <c r="Z1104" s="5">
        <v>30353.73</v>
      </c>
      <c r="AA1104" s="3">
        <v>1130</v>
      </c>
      <c r="AB1104" s="5">
        <v>34299714.899999999</v>
      </c>
      <c r="AC1104" s="1">
        <v>30353.73</v>
      </c>
      <c r="AD1104">
        <v>1130</v>
      </c>
      <c r="AE1104" s="1">
        <v>34299714.899999999</v>
      </c>
      <c r="AF1104">
        <v>0</v>
      </c>
      <c r="AJ1104">
        <v>0</v>
      </c>
      <c r="AK1104">
        <v>0</v>
      </c>
      <c r="AL1104">
        <v>0</v>
      </c>
      <c r="AM1104">
        <v>0</v>
      </c>
      <c r="AN1104">
        <v>0</v>
      </c>
      <c r="AO1104">
        <v>0</v>
      </c>
      <c r="AP1104" s="2">
        <v>42831</v>
      </c>
      <c r="AQ1104" t="s">
        <v>72</v>
      </c>
      <c r="AR1104" t="s">
        <v>72</v>
      </c>
      <c r="AS1104">
        <v>376</v>
      </c>
      <c r="AT1104" s="4">
        <v>42775</v>
      </c>
      <c r="AU1104" t="s">
        <v>73</v>
      </c>
      <c r="AV1104">
        <v>376</v>
      </c>
      <c r="AW1104" s="4">
        <v>42775</v>
      </c>
      <c r="BD1104">
        <v>0</v>
      </c>
      <c r="BN1104" t="s">
        <v>74</v>
      </c>
    </row>
    <row r="1105" spans="1:66">
      <c r="A1105">
        <v>101492</v>
      </c>
      <c r="B1105" t="s">
        <v>288</v>
      </c>
      <c r="C1105" s="1">
        <v>43300101</v>
      </c>
      <c r="D1105" t="s">
        <v>67</v>
      </c>
      <c r="H1105" t="str">
        <f>""</f>
        <v/>
      </c>
      <c r="I1105" t="str">
        <f>"04488650484"</f>
        <v>04488650484</v>
      </c>
      <c r="K1105" t="str">
        <f>""</f>
        <v/>
      </c>
      <c r="M1105" t="s">
        <v>68</v>
      </c>
      <c r="N1105" t="str">
        <f>"FOR"</f>
        <v>FOR</v>
      </c>
      <c r="O1105" t="s">
        <v>69</v>
      </c>
      <c r="P1105" t="s">
        <v>158</v>
      </c>
      <c r="Q1105">
        <v>2013</v>
      </c>
      <c r="R1105" s="4">
        <v>41578</v>
      </c>
      <c r="S1105" s="2">
        <v>41600</v>
      </c>
      <c r="T1105" s="2">
        <v>41600</v>
      </c>
      <c r="U1105" s="4">
        <v>41690</v>
      </c>
      <c r="V1105" t="s">
        <v>71</v>
      </c>
      <c r="W1105" t="str">
        <f>"             9132230"</f>
        <v xml:space="preserve">             9132230</v>
      </c>
      <c r="X1105" s="1">
        <v>1511.91</v>
      </c>
      <c r="Y1105">
        <v>0</v>
      </c>
      <c r="Z1105" s="5">
        <v>1511.91</v>
      </c>
      <c r="AA1105" s="3">
        <v>1085</v>
      </c>
      <c r="AB1105" s="5">
        <v>1640422.35</v>
      </c>
      <c r="AC1105" s="1">
        <v>1511.91</v>
      </c>
      <c r="AD1105">
        <v>1085</v>
      </c>
      <c r="AE1105" s="1">
        <v>1640422.35</v>
      </c>
      <c r="AF1105">
        <v>0</v>
      </c>
      <c r="AJ1105">
        <v>0</v>
      </c>
      <c r="AK1105">
        <v>0</v>
      </c>
      <c r="AL1105">
        <v>0</v>
      </c>
      <c r="AM1105">
        <v>0</v>
      </c>
      <c r="AN1105">
        <v>0</v>
      </c>
      <c r="AO1105">
        <v>0</v>
      </c>
      <c r="AP1105" s="2">
        <v>42831</v>
      </c>
      <c r="AQ1105" t="s">
        <v>72</v>
      </c>
      <c r="AR1105" t="s">
        <v>72</v>
      </c>
      <c r="AS1105">
        <v>376</v>
      </c>
      <c r="AT1105" s="4">
        <v>42775</v>
      </c>
      <c r="AU1105" t="s">
        <v>73</v>
      </c>
      <c r="AV1105">
        <v>376</v>
      </c>
      <c r="AW1105" s="4">
        <v>42775</v>
      </c>
      <c r="BD1105">
        <v>0</v>
      </c>
      <c r="BN1105" t="s">
        <v>74</v>
      </c>
    </row>
    <row r="1106" spans="1:66">
      <c r="A1106">
        <v>101498</v>
      </c>
      <c r="B1106" t="s">
        <v>289</v>
      </c>
      <c r="C1106" s="1">
        <v>43500101</v>
      </c>
      <c r="D1106" t="s">
        <v>98</v>
      </c>
      <c r="H1106" t="str">
        <f>"QGLFMN77P65A128P"</f>
        <v>QGLFMN77P65A128P</v>
      </c>
      <c r="I1106" t="str">
        <f>"04789720655"</f>
        <v>04789720655</v>
      </c>
      <c r="K1106" t="str">
        <f>""</f>
        <v/>
      </c>
      <c r="M1106" t="s">
        <v>68</v>
      </c>
      <c r="N1106" t="str">
        <f>"ALTPRO"</f>
        <v>ALTPRO</v>
      </c>
      <c r="O1106" t="s">
        <v>116</v>
      </c>
      <c r="P1106" t="s">
        <v>75</v>
      </c>
      <c r="Q1106">
        <v>2017</v>
      </c>
      <c r="R1106" s="4">
        <v>42759</v>
      </c>
      <c r="S1106" s="2">
        <v>42760</v>
      </c>
      <c r="T1106" s="2">
        <v>42759</v>
      </c>
      <c r="U1106" s="4">
        <v>42819</v>
      </c>
      <c r="V1106" t="s">
        <v>71</v>
      </c>
      <c r="W1106" t="str">
        <f>"      000001-2017-FE"</f>
        <v xml:space="preserve">      000001-2017-FE</v>
      </c>
      <c r="X1106" s="1">
        <v>2634</v>
      </c>
      <c r="Y1106">
        <v>-526.79999999999995</v>
      </c>
      <c r="Z1106" s="5">
        <v>2107.1999999999998</v>
      </c>
      <c r="AA1106" s="3">
        <v>-54</v>
      </c>
      <c r="AB1106" s="5">
        <v>-113788.8</v>
      </c>
      <c r="AC1106" s="1">
        <v>2107.1999999999998</v>
      </c>
      <c r="AD1106">
        <v>-54</v>
      </c>
      <c r="AE1106" s="1">
        <v>-113788.8</v>
      </c>
      <c r="AF1106">
        <v>0</v>
      </c>
      <c r="AJ1106">
        <v>-526.79999999999995</v>
      </c>
      <c r="AK1106" s="1">
        <v>2107.1999999999998</v>
      </c>
      <c r="AL1106" s="1">
        <v>2107.1999999999998</v>
      </c>
      <c r="AM1106">
        <v>-526.79999999999995</v>
      </c>
      <c r="AN1106" s="1">
        <v>2107.1999999999998</v>
      </c>
      <c r="AO1106" s="1">
        <v>2107.1999999999998</v>
      </c>
      <c r="AP1106" s="2">
        <v>42831</v>
      </c>
      <c r="AQ1106" t="s">
        <v>72</v>
      </c>
      <c r="AR1106" t="s">
        <v>72</v>
      </c>
      <c r="AS1106">
        <v>110</v>
      </c>
      <c r="AT1106" s="4">
        <v>42765</v>
      </c>
      <c r="AV1106">
        <v>110</v>
      </c>
      <c r="AW1106" s="4">
        <v>42765</v>
      </c>
      <c r="BD1106">
        <v>0</v>
      </c>
      <c r="BN1106" t="s">
        <v>74</v>
      </c>
    </row>
    <row r="1107" spans="1:66">
      <c r="A1107">
        <v>101498</v>
      </c>
      <c r="B1107" t="s">
        <v>289</v>
      </c>
      <c r="C1107" s="1">
        <v>43500101</v>
      </c>
      <c r="D1107" t="s">
        <v>98</v>
      </c>
      <c r="H1107" t="str">
        <f>"QGLFMN77P65A128P"</f>
        <v>QGLFMN77P65A128P</v>
      </c>
      <c r="I1107" t="str">
        <f>"04789720655"</f>
        <v>04789720655</v>
      </c>
      <c r="K1107" t="str">
        <f>""</f>
        <v/>
      </c>
      <c r="M1107" t="s">
        <v>68</v>
      </c>
      <c r="N1107" t="str">
        <f>"ALTPRO"</f>
        <v>ALTPRO</v>
      </c>
      <c r="O1107" t="s">
        <v>116</v>
      </c>
      <c r="P1107" t="s">
        <v>75</v>
      </c>
      <c r="Q1107">
        <v>2017</v>
      </c>
      <c r="R1107" s="4">
        <v>42790</v>
      </c>
      <c r="S1107" s="2">
        <v>42793</v>
      </c>
      <c r="T1107" s="2">
        <v>42790</v>
      </c>
      <c r="U1107" s="4">
        <v>42850</v>
      </c>
      <c r="V1107" t="s">
        <v>71</v>
      </c>
      <c r="W1107" t="str">
        <f>"      000002-2017-FE"</f>
        <v xml:space="preserve">      000002-2017-FE</v>
      </c>
      <c r="X1107" s="1">
        <v>2634</v>
      </c>
      <c r="Y1107">
        <v>-526.79999999999995</v>
      </c>
      <c r="Z1107" s="5">
        <v>2107.1999999999998</v>
      </c>
      <c r="AA1107" s="3">
        <v>-55</v>
      </c>
      <c r="AB1107" s="5">
        <v>-115896</v>
      </c>
      <c r="AC1107" s="1">
        <v>2107.1999999999998</v>
      </c>
      <c r="AD1107">
        <v>-55</v>
      </c>
      <c r="AE1107" s="1">
        <v>-115896</v>
      </c>
      <c r="AF1107">
        <v>0</v>
      </c>
      <c r="AJ1107" s="1">
        <v>2107.1999999999998</v>
      </c>
      <c r="AK1107" s="1">
        <v>2107.1999999999998</v>
      </c>
      <c r="AL1107" s="1">
        <v>2107.1999999999998</v>
      </c>
      <c r="AM1107" s="1">
        <v>2107.1999999999998</v>
      </c>
      <c r="AN1107" s="1">
        <v>2107.1999999999998</v>
      </c>
      <c r="AO1107" s="1">
        <v>2107.1999999999998</v>
      </c>
      <c r="AP1107" s="2">
        <v>42831</v>
      </c>
      <c r="AQ1107" t="s">
        <v>72</v>
      </c>
      <c r="AR1107" t="s">
        <v>72</v>
      </c>
      <c r="AS1107">
        <v>653</v>
      </c>
      <c r="AT1107" s="4">
        <v>42795</v>
      </c>
      <c r="AV1107">
        <v>653</v>
      </c>
      <c r="AW1107" s="4">
        <v>42795</v>
      </c>
      <c r="BD1107">
        <v>0</v>
      </c>
      <c r="BN1107" t="s">
        <v>74</v>
      </c>
    </row>
    <row r="1108" spans="1:66">
      <c r="A1108">
        <v>101498</v>
      </c>
      <c r="B1108" t="s">
        <v>289</v>
      </c>
      <c r="C1108" s="1">
        <v>43500101</v>
      </c>
      <c r="D1108" t="s">
        <v>98</v>
      </c>
      <c r="H1108" t="str">
        <f>"QGLFMN77P65A128P"</f>
        <v>QGLFMN77P65A128P</v>
      </c>
      <c r="I1108" t="str">
        <f>"04789720655"</f>
        <v>04789720655</v>
      </c>
      <c r="K1108" t="str">
        <f>""</f>
        <v/>
      </c>
      <c r="M1108" t="s">
        <v>68</v>
      </c>
      <c r="N1108" t="str">
        <f>"ALTPRO"</f>
        <v>ALTPRO</v>
      </c>
      <c r="O1108" t="s">
        <v>116</v>
      </c>
      <c r="P1108" t="s">
        <v>75</v>
      </c>
      <c r="Q1108">
        <v>2017</v>
      </c>
      <c r="R1108" s="4">
        <v>42808</v>
      </c>
      <c r="S1108" s="2">
        <v>42809</v>
      </c>
      <c r="T1108" s="2">
        <v>42808</v>
      </c>
      <c r="U1108" s="4">
        <v>42868</v>
      </c>
      <c r="V1108" t="s">
        <v>71</v>
      </c>
      <c r="W1108" t="str">
        <f>"      000003-2017-FE"</f>
        <v xml:space="preserve">      000003-2017-FE</v>
      </c>
      <c r="X1108" s="1">
        <v>2528.64</v>
      </c>
      <c r="Y1108">
        <v>-505.73</v>
      </c>
      <c r="Z1108" s="5">
        <v>2022.91</v>
      </c>
      <c r="AA1108" s="3">
        <v>-59</v>
      </c>
      <c r="AB1108" s="5">
        <v>-119351.69</v>
      </c>
      <c r="AC1108" s="1">
        <v>2022.91</v>
      </c>
      <c r="AD1108">
        <v>-59</v>
      </c>
      <c r="AE1108" s="1">
        <v>-119351.69</v>
      </c>
      <c r="AF1108">
        <v>0</v>
      </c>
      <c r="AJ1108" s="1">
        <v>2022.91</v>
      </c>
      <c r="AK1108" s="1">
        <v>2022.91</v>
      </c>
      <c r="AL1108" s="1">
        <v>2022.91</v>
      </c>
      <c r="AM1108" s="1">
        <v>2022.91</v>
      </c>
      <c r="AN1108" s="1">
        <v>2022.91</v>
      </c>
      <c r="AO1108" s="1">
        <v>2022.91</v>
      </c>
      <c r="AP1108" s="2">
        <v>42831</v>
      </c>
      <c r="AQ1108" t="s">
        <v>72</v>
      </c>
      <c r="AR1108" t="s">
        <v>72</v>
      </c>
      <c r="AS1108">
        <v>759</v>
      </c>
      <c r="AT1108" s="4">
        <v>42809</v>
      </c>
      <c r="AV1108">
        <v>759</v>
      </c>
      <c r="AW1108" s="4">
        <v>42809</v>
      </c>
      <c r="BD1108">
        <v>0</v>
      </c>
      <c r="BN1108" t="s">
        <v>74</v>
      </c>
    </row>
    <row r="1109" spans="1:66">
      <c r="A1109">
        <v>101515</v>
      </c>
      <c r="B1109" t="s">
        <v>290</v>
      </c>
      <c r="C1109" s="1">
        <v>43300101</v>
      </c>
      <c r="D1109" t="s">
        <v>67</v>
      </c>
      <c r="H1109" t="str">
        <f t="shared" ref="H1109:I1112" si="145">"01764680649"</f>
        <v>01764680649</v>
      </c>
      <c r="I1109" t="str">
        <f t="shared" si="145"/>
        <v>01764680649</v>
      </c>
      <c r="K1109" t="str">
        <f>""</f>
        <v/>
      </c>
      <c r="M1109" t="s">
        <v>68</v>
      </c>
      <c r="N1109" t="str">
        <f t="shared" ref="N1109:N1140" si="146">"FOR"</f>
        <v>FOR</v>
      </c>
      <c r="O1109" t="s">
        <v>69</v>
      </c>
      <c r="P1109" t="s">
        <v>75</v>
      </c>
      <c r="Q1109">
        <v>2016</v>
      </c>
      <c r="R1109" s="4">
        <v>42674</v>
      </c>
      <c r="S1109" s="2">
        <v>42684</v>
      </c>
      <c r="T1109" s="2">
        <v>42683</v>
      </c>
      <c r="U1109" s="4">
        <v>42743</v>
      </c>
      <c r="V1109" t="s">
        <v>71</v>
      </c>
      <c r="W1109" t="str">
        <f>"                W761"</f>
        <v xml:space="preserve">                W761</v>
      </c>
      <c r="X1109">
        <v>805.2</v>
      </c>
      <c r="Y1109">
        <v>0</v>
      </c>
      <c r="Z1109" s="5">
        <v>660</v>
      </c>
      <c r="AA1109" s="3">
        <v>29</v>
      </c>
      <c r="AB1109" s="5">
        <v>19140</v>
      </c>
      <c r="AC1109">
        <v>660</v>
      </c>
      <c r="AD1109">
        <v>29</v>
      </c>
      <c r="AE1109" s="1">
        <v>19140</v>
      </c>
      <c r="AF1109">
        <v>0</v>
      </c>
      <c r="AJ1109">
        <v>0</v>
      </c>
      <c r="AK1109">
        <v>0</v>
      </c>
      <c r="AL1109">
        <v>0</v>
      </c>
      <c r="AM1109">
        <v>0</v>
      </c>
      <c r="AN1109">
        <v>0</v>
      </c>
      <c r="AO1109">
        <v>0</v>
      </c>
      <c r="AP1109" s="2">
        <v>42831</v>
      </c>
      <c r="AQ1109" t="s">
        <v>72</v>
      </c>
      <c r="AR1109" t="s">
        <v>72</v>
      </c>
      <c r="AS1109">
        <v>301</v>
      </c>
      <c r="AT1109" s="4">
        <v>42772</v>
      </c>
      <c r="AU1109" t="s">
        <v>73</v>
      </c>
      <c r="AV1109">
        <v>301</v>
      </c>
      <c r="AW1109" s="4">
        <v>42772</v>
      </c>
      <c r="BD1109">
        <v>0</v>
      </c>
      <c r="BN1109" t="s">
        <v>74</v>
      </c>
    </row>
    <row r="1110" spans="1:66">
      <c r="A1110">
        <v>101515</v>
      </c>
      <c r="B1110" t="s">
        <v>290</v>
      </c>
      <c r="C1110" s="1">
        <v>43300101</v>
      </c>
      <c r="D1110" t="s">
        <v>67</v>
      </c>
      <c r="H1110" t="str">
        <f t="shared" si="145"/>
        <v>01764680649</v>
      </c>
      <c r="I1110" t="str">
        <f t="shared" si="145"/>
        <v>01764680649</v>
      </c>
      <c r="K1110" t="str">
        <f>""</f>
        <v/>
      </c>
      <c r="M1110" t="s">
        <v>68</v>
      </c>
      <c r="N1110" t="str">
        <f t="shared" si="146"/>
        <v>FOR</v>
      </c>
      <c r="O1110" t="s">
        <v>69</v>
      </c>
      <c r="P1110" t="s">
        <v>75</v>
      </c>
      <c r="Q1110">
        <v>2016</v>
      </c>
      <c r="R1110" s="4">
        <v>42674</v>
      </c>
      <c r="S1110" s="2">
        <v>42691</v>
      </c>
      <c r="T1110" s="2">
        <v>42690</v>
      </c>
      <c r="U1110" s="4">
        <v>42750</v>
      </c>
      <c r="V1110" t="s">
        <v>71</v>
      </c>
      <c r="W1110" t="str">
        <f>"                W769"</f>
        <v xml:space="preserve">                W769</v>
      </c>
      <c r="X1110" s="1">
        <v>21653.38</v>
      </c>
      <c r="Y1110">
        <v>0</v>
      </c>
      <c r="Z1110" s="5">
        <v>17748.669999999998</v>
      </c>
      <c r="AA1110" s="3">
        <v>22</v>
      </c>
      <c r="AB1110" s="5">
        <v>390470.74</v>
      </c>
      <c r="AC1110" s="1">
        <v>17748.669999999998</v>
      </c>
      <c r="AD1110">
        <v>22</v>
      </c>
      <c r="AE1110" s="1">
        <v>390470.74</v>
      </c>
      <c r="AF1110">
        <v>0</v>
      </c>
      <c r="AJ1110">
        <v>0</v>
      </c>
      <c r="AK1110">
        <v>0</v>
      </c>
      <c r="AL1110">
        <v>0</v>
      </c>
      <c r="AM1110">
        <v>0</v>
      </c>
      <c r="AN1110">
        <v>0</v>
      </c>
      <c r="AO1110">
        <v>0</v>
      </c>
      <c r="AP1110" s="2">
        <v>42831</v>
      </c>
      <c r="AQ1110" t="s">
        <v>72</v>
      </c>
      <c r="AR1110" t="s">
        <v>72</v>
      </c>
      <c r="AS1110">
        <v>301</v>
      </c>
      <c r="AT1110" s="4">
        <v>42772</v>
      </c>
      <c r="AU1110" t="s">
        <v>73</v>
      </c>
      <c r="AV1110">
        <v>301</v>
      </c>
      <c r="AW1110" s="4">
        <v>42772</v>
      </c>
      <c r="BD1110">
        <v>0</v>
      </c>
      <c r="BN1110" t="s">
        <v>74</v>
      </c>
    </row>
    <row r="1111" spans="1:66">
      <c r="A1111">
        <v>101515</v>
      </c>
      <c r="B1111" t="s">
        <v>290</v>
      </c>
      <c r="C1111" s="1">
        <v>43300101</v>
      </c>
      <c r="D1111" t="s">
        <v>67</v>
      </c>
      <c r="H1111" t="str">
        <f t="shared" si="145"/>
        <v>01764680649</v>
      </c>
      <c r="I1111" t="str">
        <f t="shared" si="145"/>
        <v>01764680649</v>
      </c>
      <c r="K1111" t="str">
        <f>""</f>
        <v/>
      </c>
      <c r="M1111" t="s">
        <v>68</v>
      </c>
      <c r="N1111" t="str">
        <f t="shared" si="146"/>
        <v>FOR</v>
      </c>
      <c r="O1111" t="s">
        <v>69</v>
      </c>
      <c r="P1111" t="s">
        <v>75</v>
      </c>
      <c r="Q1111">
        <v>2016</v>
      </c>
      <c r="R1111" s="4">
        <v>42676</v>
      </c>
      <c r="S1111" s="2">
        <v>42733</v>
      </c>
      <c r="T1111" s="2">
        <v>42731</v>
      </c>
      <c r="U1111" s="4">
        <v>42791</v>
      </c>
      <c r="V1111" t="s">
        <v>71</v>
      </c>
      <c r="W1111" t="str">
        <f>"                W832"</f>
        <v xml:space="preserve">                W832</v>
      </c>
      <c r="X1111">
        <v>768.6</v>
      </c>
      <c r="Y1111">
        <v>0</v>
      </c>
      <c r="Z1111" s="5">
        <v>630</v>
      </c>
      <c r="AA1111" s="3">
        <v>4</v>
      </c>
      <c r="AB1111" s="5">
        <v>2520</v>
      </c>
      <c r="AC1111">
        <v>630</v>
      </c>
      <c r="AD1111">
        <v>4</v>
      </c>
      <c r="AE1111" s="1">
        <v>2520</v>
      </c>
      <c r="AF1111">
        <v>138.6</v>
      </c>
      <c r="AJ1111">
        <v>0</v>
      </c>
      <c r="AK1111">
        <v>0</v>
      </c>
      <c r="AL1111">
        <v>0</v>
      </c>
      <c r="AM1111">
        <v>0</v>
      </c>
      <c r="AN1111">
        <v>0</v>
      </c>
      <c r="AO1111">
        <v>0</v>
      </c>
      <c r="AP1111" s="2">
        <v>42831</v>
      </c>
      <c r="AQ1111" t="s">
        <v>72</v>
      </c>
      <c r="AR1111" t="s">
        <v>72</v>
      </c>
      <c r="AS1111">
        <v>665</v>
      </c>
      <c r="AT1111" s="4">
        <v>42795</v>
      </c>
      <c r="AU1111" t="s">
        <v>73</v>
      </c>
      <c r="AV1111">
        <v>665</v>
      </c>
      <c r="AW1111" s="4">
        <v>42795</v>
      </c>
      <c r="AY1111">
        <v>138.6</v>
      </c>
      <c r="BD1111">
        <v>0</v>
      </c>
      <c r="BN1111" t="s">
        <v>74</v>
      </c>
    </row>
    <row r="1112" spans="1:66">
      <c r="A1112">
        <v>101515</v>
      </c>
      <c r="B1112" t="s">
        <v>290</v>
      </c>
      <c r="C1112" s="1">
        <v>43300101</v>
      </c>
      <c r="D1112" t="s">
        <v>67</v>
      </c>
      <c r="H1112" t="str">
        <f t="shared" si="145"/>
        <v>01764680649</v>
      </c>
      <c r="I1112" t="str">
        <f t="shared" si="145"/>
        <v>01764680649</v>
      </c>
      <c r="K1112" t="str">
        <f>""</f>
        <v/>
      </c>
      <c r="M1112" t="s">
        <v>68</v>
      </c>
      <c r="N1112" t="str">
        <f t="shared" si="146"/>
        <v>FOR</v>
      </c>
      <c r="O1112" t="s">
        <v>69</v>
      </c>
      <c r="P1112" t="s">
        <v>75</v>
      </c>
      <c r="Q1112">
        <v>2016</v>
      </c>
      <c r="R1112" s="4">
        <v>42704</v>
      </c>
      <c r="S1112" s="2">
        <v>42733</v>
      </c>
      <c r="T1112" s="2">
        <v>42731</v>
      </c>
      <c r="U1112" s="4">
        <v>42791</v>
      </c>
      <c r="V1112" t="s">
        <v>71</v>
      </c>
      <c r="W1112" t="str">
        <f>"                W850"</f>
        <v xml:space="preserve">                W850</v>
      </c>
      <c r="X1112" s="1">
        <v>21653.38</v>
      </c>
      <c r="Y1112">
        <v>0</v>
      </c>
      <c r="Z1112" s="5">
        <v>17748.669999999998</v>
      </c>
      <c r="AA1112" s="3">
        <v>4</v>
      </c>
      <c r="AB1112" s="5">
        <v>70994.679999999993</v>
      </c>
      <c r="AC1112" s="1">
        <v>17748.669999999998</v>
      </c>
      <c r="AD1112">
        <v>4</v>
      </c>
      <c r="AE1112" s="1">
        <v>70994.679999999993</v>
      </c>
      <c r="AF1112" s="1">
        <v>3904.71</v>
      </c>
      <c r="AJ1112">
        <v>0</v>
      </c>
      <c r="AK1112">
        <v>0</v>
      </c>
      <c r="AL1112">
        <v>0</v>
      </c>
      <c r="AM1112">
        <v>0</v>
      </c>
      <c r="AN1112">
        <v>0</v>
      </c>
      <c r="AO1112">
        <v>0</v>
      </c>
      <c r="AP1112" s="2">
        <v>42831</v>
      </c>
      <c r="AQ1112" t="s">
        <v>72</v>
      </c>
      <c r="AR1112" t="s">
        <v>72</v>
      </c>
      <c r="AS1112">
        <v>665</v>
      </c>
      <c r="AT1112" s="4">
        <v>42795</v>
      </c>
      <c r="AU1112" t="s">
        <v>73</v>
      </c>
      <c r="AV1112">
        <v>665</v>
      </c>
      <c r="AW1112" s="4">
        <v>42795</v>
      </c>
      <c r="AY1112" s="1">
        <v>3904.71</v>
      </c>
      <c r="BD1112">
        <v>0</v>
      </c>
      <c r="BN1112" t="s">
        <v>74</v>
      </c>
    </row>
    <row r="1113" spans="1:66" hidden="1">
      <c r="A1113">
        <v>101535</v>
      </c>
      <c r="B1113" t="s">
        <v>291</v>
      </c>
      <c r="C1113" s="1">
        <v>43300101</v>
      </c>
      <c r="D1113" t="s">
        <v>67</v>
      </c>
      <c r="H1113" t="str">
        <f t="shared" ref="H1113:I1115" si="147">"02805490162"</f>
        <v>02805490162</v>
      </c>
      <c r="I1113" t="str">
        <f t="shared" si="147"/>
        <v>02805490162</v>
      </c>
      <c r="K1113" t="str">
        <f>""</f>
        <v/>
      </c>
      <c r="M1113" t="s">
        <v>68</v>
      </c>
      <c r="N1113" t="str">
        <f t="shared" si="146"/>
        <v>FOR</v>
      </c>
      <c r="O1113" t="s">
        <v>69</v>
      </c>
      <c r="P1113" t="s">
        <v>82</v>
      </c>
      <c r="Q1113">
        <v>2017</v>
      </c>
      <c r="R1113" s="4">
        <v>42755</v>
      </c>
      <c r="S1113" s="2">
        <v>42755</v>
      </c>
      <c r="T1113" s="2">
        <v>42755</v>
      </c>
      <c r="U1113" s="4">
        <v>42815</v>
      </c>
      <c r="V1113" t="s">
        <v>71</v>
      </c>
      <c r="W1113" t="str">
        <f>"                0120"</f>
        <v xml:space="preserve">                0120</v>
      </c>
      <c r="X1113">
        <v>0</v>
      </c>
      <c r="Y1113">
        <v>347</v>
      </c>
      <c r="Z1113" s="3">
        <v>347</v>
      </c>
      <c r="AA1113" s="3">
        <v>-57</v>
      </c>
      <c r="AB1113" s="5">
        <v>-19779</v>
      </c>
      <c r="AC1113">
        <v>347</v>
      </c>
      <c r="AD1113">
        <v>-57</v>
      </c>
      <c r="AE1113" s="1">
        <v>-19779</v>
      </c>
      <c r="AF1113">
        <v>0</v>
      </c>
      <c r="AJ1113">
        <v>347</v>
      </c>
      <c r="AK1113">
        <v>347</v>
      </c>
      <c r="AL1113">
        <v>347</v>
      </c>
      <c r="AM1113">
        <v>347</v>
      </c>
      <c r="AN1113">
        <v>347</v>
      </c>
      <c r="AO1113">
        <v>347</v>
      </c>
      <c r="AP1113" s="2">
        <v>42831</v>
      </c>
      <c r="AQ1113" t="s">
        <v>72</v>
      </c>
      <c r="AR1113" t="s">
        <v>72</v>
      </c>
      <c r="AS1113">
        <v>56</v>
      </c>
      <c r="AT1113" s="4">
        <v>42758</v>
      </c>
      <c r="AV1113">
        <v>56</v>
      </c>
      <c r="AW1113" s="4">
        <v>42758</v>
      </c>
      <c r="BD1113">
        <v>0</v>
      </c>
      <c r="BN1113" t="s">
        <v>74</v>
      </c>
    </row>
    <row r="1114" spans="1:66" hidden="1">
      <c r="A1114">
        <v>101535</v>
      </c>
      <c r="B1114" t="s">
        <v>291</v>
      </c>
      <c r="C1114" s="1">
        <v>43300101</v>
      </c>
      <c r="D1114" t="s">
        <v>67</v>
      </c>
      <c r="H1114" t="str">
        <f t="shared" si="147"/>
        <v>02805490162</v>
      </c>
      <c r="I1114" t="str">
        <f t="shared" si="147"/>
        <v>02805490162</v>
      </c>
      <c r="K1114" t="str">
        <f>""</f>
        <v/>
      </c>
      <c r="M1114" t="s">
        <v>68</v>
      </c>
      <c r="N1114" t="str">
        <f t="shared" si="146"/>
        <v>FOR</v>
      </c>
      <c r="O1114" t="s">
        <v>69</v>
      </c>
      <c r="P1114" t="s">
        <v>83</v>
      </c>
      <c r="Q1114">
        <v>2017</v>
      </c>
      <c r="R1114" s="4">
        <v>42786</v>
      </c>
      <c r="S1114" s="2">
        <v>42787</v>
      </c>
      <c r="T1114" s="2">
        <v>42787</v>
      </c>
      <c r="U1114" s="4">
        <v>42847</v>
      </c>
      <c r="V1114" t="s">
        <v>71</v>
      </c>
      <c r="W1114" t="str">
        <f>"                0220"</f>
        <v xml:space="preserve">                0220</v>
      </c>
      <c r="X1114">
        <v>0</v>
      </c>
      <c r="Y1114">
        <v>347</v>
      </c>
      <c r="Z1114" s="3">
        <v>347</v>
      </c>
      <c r="AA1114" s="3">
        <v>-60</v>
      </c>
      <c r="AB1114" s="5">
        <v>-20820</v>
      </c>
      <c r="AC1114">
        <v>347</v>
      </c>
      <c r="AD1114">
        <v>-60</v>
      </c>
      <c r="AE1114" s="1">
        <v>-20820</v>
      </c>
      <c r="AF1114">
        <v>0</v>
      </c>
      <c r="AJ1114">
        <v>347</v>
      </c>
      <c r="AK1114">
        <v>347</v>
      </c>
      <c r="AL1114">
        <v>347</v>
      </c>
      <c r="AM1114">
        <v>347</v>
      </c>
      <c r="AN1114">
        <v>347</v>
      </c>
      <c r="AO1114">
        <v>347</v>
      </c>
      <c r="AP1114" s="2">
        <v>42831</v>
      </c>
      <c r="AQ1114" t="s">
        <v>72</v>
      </c>
      <c r="AR1114" t="s">
        <v>72</v>
      </c>
      <c r="AS1114">
        <v>536</v>
      </c>
      <c r="AT1114" s="4">
        <v>42787</v>
      </c>
      <c r="AV1114">
        <v>536</v>
      </c>
      <c r="AW1114" s="4">
        <v>42787</v>
      </c>
      <c r="BD1114">
        <v>0</v>
      </c>
      <c r="BN1114" t="s">
        <v>74</v>
      </c>
    </row>
    <row r="1115" spans="1:66" hidden="1">
      <c r="A1115">
        <v>101535</v>
      </c>
      <c r="B1115" t="s">
        <v>291</v>
      </c>
      <c r="C1115" s="1">
        <v>43300101</v>
      </c>
      <c r="D1115" t="s">
        <v>67</v>
      </c>
      <c r="H1115" t="str">
        <f t="shared" si="147"/>
        <v>02805490162</v>
      </c>
      <c r="I1115" t="str">
        <f t="shared" si="147"/>
        <v>02805490162</v>
      </c>
      <c r="K1115" t="str">
        <f>""</f>
        <v/>
      </c>
      <c r="M1115" t="s">
        <v>68</v>
      </c>
      <c r="N1115" t="str">
        <f t="shared" si="146"/>
        <v>FOR</v>
      </c>
      <c r="O1115" t="s">
        <v>69</v>
      </c>
      <c r="P1115" t="s">
        <v>84</v>
      </c>
      <c r="Q1115">
        <v>2017</v>
      </c>
      <c r="R1115" s="4">
        <v>42815</v>
      </c>
      <c r="S1115" s="2">
        <v>42815</v>
      </c>
      <c r="T1115" s="2">
        <v>42815</v>
      </c>
      <c r="U1115" s="4">
        <v>42875</v>
      </c>
      <c r="V1115" t="s">
        <v>71</v>
      </c>
      <c r="W1115" t="str">
        <f>"                0321"</f>
        <v xml:space="preserve">                0321</v>
      </c>
      <c r="X1115">
        <v>0</v>
      </c>
      <c r="Y1115">
        <v>347</v>
      </c>
      <c r="Z1115" s="3">
        <v>347</v>
      </c>
      <c r="AA1115" s="3">
        <v>-60</v>
      </c>
      <c r="AB1115" s="5">
        <v>-20820</v>
      </c>
      <c r="AC1115">
        <v>347</v>
      </c>
      <c r="AD1115">
        <v>-60</v>
      </c>
      <c r="AE1115" s="1">
        <v>-20820</v>
      </c>
      <c r="AF1115">
        <v>0</v>
      </c>
      <c r="AJ1115">
        <v>347</v>
      </c>
      <c r="AK1115">
        <v>347</v>
      </c>
      <c r="AL1115">
        <v>347</v>
      </c>
      <c r="AM1115">
        <v>347</v>
      </c>
      <c r="AN1115">
        <v>347</v>
      </c>
      <c r="AO1115">
        <v>347</v>
      </c>
      <c r="AP1115" s="2">
        <v>42831</v>
      </c>
      <c r="AQ1115" t="s">
        <v>72</v>
      </c>
      <c r="AR1115" t="s">
        <v>72</v>
      </c>
      <c r="AS1115">
        <v>833</v>
      </c>
      <c r="AT1115" s="4">
        <v>42815</v>
      </c>
      <c r="AV1115">
        <v>833</v>
      </c>
      <c r="AW1115" s="4">
        <v>42815</v>
      </c>
      <c r="BD1115">
        <v>0</v>
      </c>
      <c r="BN1115" t="s">
        <v>74</v>
      </c>
    </row>
    <row r="1116" spans="1:66">
      <c r="A1116">
        <v>101541</v>
      </c>
      <c r="B1116" t="s">
        <v>292</v>
      </c>
      <c r="C1116" s="1">
        <v>43300101</v>
      </c>
      <c r="D1116" t="s">
        <v>67</v>
      </c>
      <c r="H1116" t="str">
        <f t="shared" ref="H1116:I1135" si="148">"08230471008"</f>
        <v>08230471008</v>
      </c>
      <c r="I1116" t="str">
        <f t="shared" si="148"/>
        <v>08230471008</v>
      </c>
      <c r="K1116" t="str">
        <f>""</f>
        <v/>
      </c>
      <c r="M1116" t="s">
        <v>68</v>
      </c>
      <c r="N1116" t="str">
        <f t="shared" si="146"/>
        <v>FOR</v>
      </c>
      <c r="O1116" t="s">
        <v>69</v>
      </c>
      <c r="P1116" t="s">
        <v>75</v>
      </c>
      <c r="Q1116">
        <v>2016</v>
      </c>
      <c r="R1116" s="4">
        <v>42440</v>
      </c>
      <c r="S1116" s="2">
        <v>42447</v>
      </c>
      <c r="T1116" s="2">
        <v>42447</v>
      </c>
      <c r="U1116" s="4">
        <v>42507</v>
      </c>
      <c r="V1116" t="s">
        <v>71</v>
      </c>
      <c r="W1116" t="str">
        <f>"               52345"</f>
        <v xml:space="preserve">               52345</v>
      </c>
      <c r="X1116">
        <v>305</v>
      </c>
      <c r="Y1116">
        <v>0</v>
      </c>
      <c r="Z1116" s="5">
        <v>250</v>
      </c>
      <c r="AA1116" s="3">
        <v>259</v>
      </c>
      <c r="AB1116" s="5">
        <v>64750</v>
      </c>
      <c r="AC1116">
        <v>250</v>
      </c>
      <c r="AD1116">
        <v>259</v>
      </c>
      <c r="AE1116" s="1">
        <v>64750</v>
      </c>
      <c r="AF1116">
        <v>0</v>
      </c>
      <c r="AJ1116">
        <v>0</v>
      </c>
      <c r="AK1116">
        <v>0</v>
      </c>
      <c r="AL1116">
        <v>0</v>
      </c>
      <c r="AM1116">
        <v>0</v>
      </c>
      <c r="AN1116">
        <v>0</v>
      </c>
      <c r="AO1116">
        <v>0</v>
      </c>
      <c r="AP1116" s="2">
        <v>42831</v>
      </c>
      <c r="AQ1116" t="s">
        <v>72</v>
      </c>
      <c r="AR1116" t="s">
        <v>72</v>
      </c>
      <c r="AS1116">
        <v>171</v>
      </c>
      <c r="AT1116" s="4">
        <v>42766</v>
      </c>
      <c r="AU1116" t="s">
        <v>73</v>
      </c>
      <c r="AV1116">
        <v>171</v>
      </c>
      <c r="AW1116" s="4">
        <v>42766</v>
      </c>
      <c r="BD1116">
        <v>0</v>
      </c>
      <c r="BN1116" t="s">
        <v>74</v>
      </c>
    </row>
    <row r="1117" spans="1:66">
      <c r="A1117">
        <v>101541</v>
      </c>
      <c r="B1117" t="s">
        <v>292</v>
      </c>
      <c r="C1117" s="1">
        <v>43300101</v>
      </c>
      <c r="D1117" t="s">
        <v>67</v>
      </c>
      <c r="H1117" t="str">
        <f t="shared" si="148"/>
        <v>08230471008</v>
      </c>
      <c r="I1117" t="str">
        <f t="shared" si="148"/>
        <v>08230471008</v>
      </c>
      <c r="K1117" t="str">
        <f>""</f>
        <v/>
      </c>
      <c r="M1117" t="s">
        <v>68</v>
      </c>
      <c r="N1117" t="str">
        <f t="shared" si="146"/>
        <v>FOR</v>
      </c>
      <c r="O1117" t="s">
        <v>69</v>
      </c>
      <c r="P1117" t="s">
        <v>75</v>
      </c>
      <c r="Q1117">
        <v>2016</v>
      </c>
      <c r="R1117" s="4">
        <v>42453</v>
      </c>
      <c r="S1117" s="2">
        <v>42464</v>
      </c>
      <c r="T1117" s="2">
        <v>42461</v>
      </c>
      <c r="U1117" s="4">
        <v>42521</v>
      </c>
      <c r="V1117" t="s">
        <v>71</v>
      </c>
      <c r="W1117" t="str">
        <f>"               52834"</f>
        <v xml:space="preserve">               52834</v>
      </c>
      <c r="X1117">
        <v>305</v>
      </c>
      <c r="Y1117">
        <v>0</v>
      </c>
      <c r="Z1117" s="5">
        <v>250</v>
      </c>
      <c r="AA1117" s="3">
        <v>245</v>
      </c>
      <c r="AB1117" s="5">
        <v>61250</v>
      </c>
      <c r="AC1117">
        <v>250</v>
      </c>
      <c r="AD1117">
        <v>245</v>
      </c>
      <c r="AE1117" s="1">
        <v>61250</v>
      </c>
      <c r="AF1117">
        <v>0</v>
      </c>
      <c r="AJ1117">
        <v>0</v>
      </c>
      <c r="AK1117">
        <v>0</v>
      </c>
      <c r="AL1117">
        <v>0</v>
      </c>
      <c r="AM1117">
        <v>0</v>
      </c>
      <c r="AN1117">
        <v>0</v>
      </c>
      <c r="AO1117">
        <v>0</v>
      </c>
      <c r="AP1117" s="2">
        <v>42831</v>
      </c>
      <c r="AQ1117" t="s">
        <v>72</v>
      </c>
      <c r="AR1117" t="s">
        <v>72</v>
      </c>
      <c r="AS1117">
        <v>171</v>
      </c>
      <c r="AT1117" s="4">
        <v>42766</v>
      </c>
      <c r="AU1117" t="s">
        <v>73</v>
      </c>
      <c r="AV1117">
        <v>171</v>
      </c>
      <c r="AW1117" s="4">
        <v>42766</v>
      </c>
      <c r="BD1117">
        <v>0</v>
      </c>
      <c r="BN1117" t="s">
        <v>74</v>
      </c>
    </row>
    <row r="1118" spans="1:66">
      <c r="A1118">
        <v>101541</v>
      </c>
      <c r="B1118" t="s">
        <v>292</v>
      </c>
      <c r="C1118" s="1">
        <v>43300101</v>
      </c>
      <c r="D1118" t="s">
        <v>67</v>
      </c>
      <c r="H1118" t="str">
        <f t="shared" si="148"/>
        <v>08230471008</v>
      </c>
      <c r="I1118" t="str">
        <f t="shared" si="148"/>
        <v>08230471008</v>
      </c>
      <c r="K1118" t="str">
        <f>""</f>
        <v/>
      </c>
      <c r="M1118" t="s">
        <v>68</v>
      </c>
      <c r="N1118" t="str">
        <f t="shared" si="146"/>
        <v>FOR</v>
      </c>
      <c r="O1118" t="s">
        <v>69</v>
      </c>
      <c r="P1118" t="s">
        <v>75</v>
      </c>
      <c r="Q1118">
        <v>2016</v>
      </c>
      <c r="R1118" s="4">
        <v>42453</v>
      </c>
      <c r="S1118" s="2">
        <v>42464</v>
      </c>
      <c r="T1118" s="2">
        <v>42461</v>
      </c>
      <c r="U1118" s="4">
        <v>42521</v>
      </c>
      <c r="V1118" t="s">
        <v>71</v>
      </c>
      <c r="W1118" t="str">
        <f>"               52835"</f>
        <v xml:space="preserve">               52835</v>
      </c>
      <c r="X1118">
        <v>305</v>
      </c>
      <c r="Y1118">
        <v>0</v>
      </c>
      <c r="Z1118" s="5">
        <v>250</v>
      </c>
      <c r="AA1118" s="3">
        <v>245</v>
      </c>
      <c r="AB1118" s="5">
        <v>61250</v>
      </c>
      <c r="AC1118">
        <v>250</v>
      </c>
      <c r="AD1118">
        <v>245</v>
      </c>
      <c r="AE1118" s="1">
        <v>61250</v>
      </c>
      <c r="AF1118">
        <v>0</v>
      </c>
      <c r="AJ1118">
        <v>0</v>
      </c>
      <c r="AK1118">
        <v>0</v>
      </c>
      <c r="AL1118">
        <v>0</v>
      </c>
      <c r="AM1118">
        <v>0</v>
      </c>
      <c r="AN1118">
        <v>0</v>
      </c>
      <c r="AO1118">
        <v>0</v>
      </c>
      <c r="AP1118" s="2">
        <v>42831</v>
      </c>
      <c r="AQ1118" t="s">
        <v>72</v>
      </c>
      <c r="AR1118" t="s">
        <v>72</v>
      </c>
      <c r="AS1118">
        <v>171</v>
      </c>
      <c r="AT1118" s="4">
        <v>42766</v>
      </c>
      <c r="AU1118" t="s">
        <v>73</v>
      </c>
      <c r="AV1118">
        <v>171</v>
      </c>
      <c r="AW1118" s="4">
        <v>42766</v>
      </c>
      <c r="BD1118">
        <v>0</v>
      </c>
      <c r="BN1118" t="s">
        <v>74</v>
      </c>
    </row>
    <row r="1119" spans="1:66">
      <c r="A1119">
        <v>101541</v>
      </c>
      <c r="B1119" t="s">
        <v>292</v>
      </c>
      <c r="C1119" s="1">
        <v>43300101</v>
      </c>
      <c r="D1119" t="s">
        <v>67</v>
      </c>
      <c r="H1119" t="str">
        <f t="shared" si="148"/>
        <v>08230471008</v>
      </c>
      <c r="I1119" t="str">
        <f t="shared" si="148"/>
        <v>08230471008</v>
      </c>
      <c r="K1119" t="str">
        <f>""</f>
        <v/>
      </c>
      <c r="M1119" t="s">
        <v>68</v>
      </c>
      <c r="N1119" t="str">
        <f t="shared" si="146"/>
        <v>FOR</v>
      </c>
      <c r="O1119" t="s">
        <v>69</v>
      </c>
      <c r="P1119" t="s">
        <v>75</v>
      </c>
      <c r="Q1119">
        <v>2016</v>
      </c>
      <c r="R1119" s="4">
        <v>42453</v>
      </c>
      <c r="S1119" s="2">
        <v>42464</v>
      </c>
      <c r="T1119" s="2">
        <v>42461</v>
      </c>
      <c r="U1119" s="4">
        <v>42521</v>
      </c>
      <c r="V1119" t="s">
        <v>71</v>
      </c>
      <c r="W1119" t="str">
        <f>"               52836"</f>
        <v xml:space="preserve">               52836</v>
      </c>
      <c r="X1119">
        <v>305</v>
      </c>
      <c r="Y1119">
        <v>0</v>
      </c>
      <c r="Z1119" s="5">
        <v>250</v>
      </c>
      <c r="AA1119" s="3">
        <v>245</v>
      </c>
      <c r="AB1119" s="5">
        <v>61250</v>
      </c>
      <c r="AC1119">
        <v>250</v>
      </c>
      <c r="AD1119">
        <v>245</v>
      </c>
      <c r="AE1119" s="1">
        <v>61250</v>
      </c>
      <c r="AF1119">
        <v>0</v>
      </c>
      <c r="AJ1119">
        <v>0</v>
      </c>
      <c r="AK1119">
        <v>0</v>
      </c>
      <c r="AL1119">
        <v>0</v>
      </c>
      <c r="AM1119">
        <v>0</v>
      </c>
      <c r="AN1119">
        <v>0</v>
      </c>
      <c r="AO1119">
        <v>0</v>
      </c>
      <c r="AP1119" s="2">
        <v>42831</v>
      </c>
      <c r="AQ1119" t="s">
        <v>72</v>
      </c>
      <c r="AR1119" t="s">
        <v>72</v>
      </c>
      <c r="AS1119">
        <v>171</v>
      </c>
      <c r="AT1119" s="4">
        <v>42766</v>
      </c>
      <c r="AU1119" t="s">
        <v>73</v>
      </c>
      <c r="AV1119">
        <v>171</v>
      </c>
      <c r="AW1119" s="4">
        <v>42766</v>
      </c>
      <c r="BD1119">
        <v>0</v>
      </c>
      <c r="BN1119" t="s">
        <v>74</v>
      </c>
    </row>
    <row r="1120" spans="1:66">
      <c r="A1120">
        <v>101541</v>
      </c>
      <c r="B1120" t="s">
        <v>292</v>
      </c>
      <c r="C1120" s="1">
        <v>43300101</v>
      </c>
      <c r="D1120" t="s">
        <v>67</v>
      </c>
      <c r="H1120" t="str">
        <f t="shared" si="148"/>
        <v>08230471008</v>
      </c>
      <c r="I1120" t="str">
        <f t="shared" si="148"/>
        <v>08230471008</v>
      </c>
      <c r="K1120" t="str">
        <f>""</f>
        <v/>
      </c>
      <c r="M1120" t="s">
        <v>68</v>
      </c>
      <c r="N1120" t="str">
        <f t="shared" si="146"/>
        <v>FOR</v>
      </c>
      <c r="O1120" t="s">
        <v>69</v>
      </c>
      <c r="P1120" t="s">
        <v>75</v>
      </c>
      <c r="Q1120">
        <v>2016</v>
      </c>
      <c r="R1120" s="4">
        <v>42453</v>
      </c>
      <c r="S1120" s="2">
        <v>42464</v>
      </c>
      <c r="T1120" s="2">
        <v>42461</v>
      </c>
      <c r="U1120" s="4">
        <v>42521</v>
      </c>
      <c r="V1120" t="s">
        <v>71</v>
      </c>
      <c r="W1120" t="str">
        <f>"               52837"</f>
        <v xml:space="preserve">               52837</v>
      </c>
      <c r="X1120">
        <v>305</v>
      </c>
      <c r="Y1120">
        <v>0</v>
      </c>
      <c r="Z1120" s="5">
        <v>250</v>
      </c>
      <c r="AA1120" s="3">
        <v>245</v>
      </c>
      <c r="AB1120" s="5">
        <v>61250</v>
      </c>
      <c r="AC1120">
        <v>250</v>
      </c>
      <c r="AD1120">
        <v>245</v>
      </c>
      <c r="AE1120" s="1">
        <v>61250</v>
      </c>
      <c r="AF1120">
        <v>0</v>
      </c>
      <c r="AJ1120">
        <v>0</v>
      </c>
      <c r="AK1120">
        <v>0</v>
      </c>
      <c r="AL1120">
        <v>0</v>
      </c>
      <c r="AM1120">
        <v>0</v>
      </c>
      <c r="AN1120">
        <v>0</v>
      </c>
      <c r="AO1120">
        <v>0</v>
      </c>
      <c r="AP1120" s="2">
        <v>42831</v>
      </c>
      <c r="AQ1120" t="s">
        <v>72</v>
      </c>
      <c r="AR1120" t="s">
        <v>72</v>
      </c>
      <c r="AS1120">
        <v>171</v>
      </c>
      <c r="AT1120" s="4">
        <v>42766</v>
      </c>
      <c r="AU1120" t="s">
        <v>73</v>
      </c>
      <c r="AV1120">
        <v>171</v>
      </c>
      <c r="AW1120" s="4">
        <v>42766</v>
      </c>
      <c r="BD1120">
        <v>0</v>
      </c>
      <c r="BN1120" t="s">
        <v>74</v>
      </c>
    </row>
    <row r="1121" spans="1:66">
      <c r="A1121">
        <v>101541</v>
      </c>
      <c r="B1121" t="s">
        <v>292</v>
      </c>
      <c r="C1121" s="1">
        <v>43300101</v>
      </c>
      <c r="D1121" t="s">
        <v>67</v>
      </c>
      <c r="H1121" t="str">
        <f t="shared" si="148"/>
        <v>08230471008</v>
      </c>
      <c r="I1121" t="str">
        <f t="shared" si="148"/>
        <v>08230471008</v>
      </c>
      <c r="K1121" t="str">
        <f>""</f>
        <v/>
      </c>
      <c r="M1121" t="s">
        <v>68</v>
      </c>
      <c r="N1121" t="str">
        <f t="shared" si="146"/>
        <v>FOR</v>
      </c>
      <c r="O1121" t="s">
        <v>69</v>
      </c>
      <c r="P1121" t="s">
        <v>75</v>
      </c>
      <c r="Q1121">
        <v>2016</v>
      </c>
      <c r="R1121" s="4">
        <v>42453</v>
      </c>
      <c r="S1121" s="2">
        <v>42464</v>
      </c>
      <c r="T1121" s="2">
        <v>42461</v>
      </c>
      <c r="U1121" s="4">
        <v>42521</v>
      </c>
      <c r="V1121" t="s">
        <v>71</v>
      </c>
      <c r="W1121" t="str">
        <f>"               52838"</f>
        <v xml:space="preserve">               52838</v>
      </c>
      <c r="X1121">
        <v>305</v>
      </c>
      <c r="Y1121">
        <v>0</v>
      </c>
      <c r="Z1121" s="5">
        <v>250</v>
      </c>
      <c r="AA1121" s="3">
        <v>245</v>
      </c>
      <c r="AB1121" s="5">
        <v>61250</v>
      </c>
      <c r="AC1121">
        <v>250</v>
      </c>
      <c r="AD1121">
        <v>245</v>
      </c>
      <c r="AE1121" s="1">
        <v>61250</v>
      </c>
      <c r="AF1121">
        <v>0</v>
      </c>
      <c r="AJ1121">
        <v>0</v>
      </c>
      <c r="AK1121">
        <v>0</v>
      </c>
      <c r="AL1121">
        <v>0</v>
      </c>
      <c r="AM1121">
        <v>0</v>
      </c>
      <c r="AN1121">
        <v>0</v>
      </c>
      <c r="AO1121">
        <v>0</v>
      </c>
      <c r="AP1121" s="2">
        <v>42831</v>
      </c>
      <c r="AQ1121" t="s">
        <v>72</v>
      </c>
      <c r="AR1121" t="s">
        <v>72</v>
      </c>
      <c r="AS1121">
        <v>171</v>
      </c>
      <c r="AT1121" s="4">
        <v>42766</v>
      </c>
      <c r="AU1121" t="s">
        <v>73</v>
      </c>
      <c r="AV1121">
        <v>171</v>
      </c>
      <c r="AW1121" s="4">
        <v>42766</v>
      </c>
      <c r="BD1121">
        <v>0</v>
      </c>
      <c r="BN1121" t="s">
        <v>74</v>
      </c>
    </row>
    <row r="1122" spans="1:66">
      <c r="A1122">
        <v>101541</v>
      </c>
      <c r="B1122" t="s">
        <v>292</v>
      </c>
      <c r="C1122" s="1">
        <v>43300101</v>
      </c>
      <c r="D1122" t="s">
        <v>67</v>
      </c>
      <c r="H1122" t="str">
        <f t="shared" si="148"/>
        <v>08230471008</v>
      </c>
      <c r="I1122" t="str">
        <f t="shared" si="148"/>
        <v>08230471008</v>
      </c>
      <c r="K1122" t="str">
        <f>""</f>
        <v/>
      </c>
      <c r="M1122" t="s">
        <v>68</v>
      </c>
      <c r="N1122" t="str">
        <f t="shared" si="146"/>
        <v>FOR</v>
      </c>
      <c r="O1122" t="s">
        <v>69</v>
      </c>
      <c r="P1122" t="s">
        <v>75</v>
      </c>
      <c r="Q1122">
        <v>2016</v>
      </c>
      <c r="R1122" s="4">
        <v>42453</v>
      </c>
      <c r="S1122" s="2">
        <v>42464</v>
      </c>
      <c r="T1122" s="2">
        <v>42461</v>
      </c>
      <c r="U1122" s="4">
        <v>42521</v>
      </c>
      <c r="V1122" t="s">
        <v>71</v>
      </c>
      <c r="W1122" t="str">
        <f>"               52839"</f>
        <v xml:space="preserve">               52839</v>
      </c>
      <c r="X1122">
        <v>305</v>
      </c>
      <c r="Y1122">
        <v>0</v>
      </c>
      <c r="Z1122" s="5">
        <v>250</v>
      </c>
      <c r="AA1122" s="3">
        <v>245</v>
      </c>
      <c r="AB1122" s="5">
        <v>61250</v>
      </c>
      <c r="AC1122">
        <v>250</v>
      </c>
      <c r="AD1122">
        <v>245</v>
      </c>
      <c r="AE1122" s="1">
        <v>61250</v>
      </c>
      <c r="AF1122">
        <v>0</v>
      </c>
      <c r="AJ1122">
        <v>0</v>
      </c>
      <c r="AK1122">
        <v>0</v>
      </c>
      <c r="AL1122">
        <v>0</v>
      </c>
      <c r="AM1122">
        <v>0</v>
      </c>
      <c r="AN1122">
        <v>0</v>
      </c>
      <c r="AO1122">
        <v>0</v>
      </c>
      <c r="AP1122" s="2">
        <v>42831</v>
      </c>
      <c r="AQ1122" t="s">
        <v>72</v>
      </c>
      <c r="AR1122" t="s">
        <v>72</v>
      </c>
      <c r="AS1122">
        <v>171</v>
      </c>
      <c r="AT1122" s="4">
        <v>42766</v>
      </c>
      <c r="AU1122" t="s">
        <v>73</v>
      </c>
      <c r="AV1122">
        <v>171</v>
      </c>
      <c r="AW1122" s="4">
        <v>42766</v>
      </c>
      <c r="BD1122">
        <v>0</v>
      </c>
      <c r="BN1122" t="s">
        <v>74</v>
      </c>
    </row>
    <row r="1123" spans="1:66">
      <c r="A1123">
        <v>101541</v>
      </c>
      <c r="B1123" t="s">
        <v>292</v>
      </c>
      <c r="C1123" s="1">
        <v>43300101</v>
      </c>
      <c r="D1123" t="s">
        <v>67</v>
      </c>
      <c r="H1123" t="str">
        <f t="shared" si="148"/>
        <v>08230471008</v>
      </c>
      <c r="I1123" t="str">
        <f t="shared" si="148"/>
        <v>08230471008</v>
      </c>
      <c r="K1123" t="str">
        <f>""</f>
        <v/>
      </c>
      <c r="M1123" t="s">
        <v>68</v>
      </c>
      <c r="N1123" t="str">
        <f t="shared" si="146"/>
        <v>FOR</v>
      </c>
      <c r="O1123" t="s">
        <v>69</v>
      </c>
      <c r="P1123" t="s">
        <v>75</v>
      </c>
      <c r="Q1123">
        <v>2016</v>
      </c>
      <c r="R1123" s="4">
        <v>42453</v>
      </c>
      <c r="S1123" s="2">
        <v>42464</v>
      </c>
      <c r="T1123" s="2">
        <v>42461</v>
      </c>
      <c r="U1123" s="4">
        <v>42521</v>
      </c>
      <c r="V1123" t="s">
        <v>71</v>
      </c>
      <c r="W1123" t="str">
        <f>"               52840"</f>
        <v xml:space="preserve">               52840</v>
      </c>
      <c r="X1123">
        <v>305</v>
      </c>
      <c r="Y1123">
        <v>0</v>
      </c>
      <c r="Z1123" s="5">
        <v>250</v>
      </c>
      <c r="AA1123" s="3">
        <v>245</v>
      </c>
      <c r="AB1123" s="5">
        <v>61250</v>
      </c>
      <c r="AC1123">
        <v>250</v>
      </c>
      <c r="AD1123">
        <v>245</v>
      </c>
      <c r="AE1123" s="1">
        <v>61250</v>
      </c>
      <c r="AF1123">
        <v>0</v>
      </c>
      <c r="AJ1123">
        <v>0</v>
      </c>
      <c r="AK1123">
        <v>0</v>
      </c>
      <c r="AL1123">
        <v>0</v>
      </c>
      <c r="AM1123">
        <v>0</v>
      </c>
      <c r="AN1123">
        <v>0</v>
      </c>
      <c r="AO1123">
        <v>0</v>
      </c>
      <c r="AP1123" s="2">
        <v>42831</v>
      </c>
      <c r="AQ1123" t="s">
        <v>72</v>
      </c>
      <c r="AR1123" t="s">
        <v>72</v>
      </c>
      <c r="AS1123">
        <v>171</v>
      </c>
      <c r="AT1123" s="4">
        <v>42766</v>
      </c>
      <c r="AU1123" t="s">
        <v>73</v>
      </c>
      <c r="AV1123">
        <v>171</v>
      </c>
      <c r="AW1123" s="4">
        <v>42766</v>
      </c>
      <c r="BD1123">
        <v>0</v>
      </c>
      <c r="BN1123" t="s">
        <v>74</v>
      </c>
    </row>
    <row r="1124" spans="1:66">
      <c r="A1124">
        <v>101541</v>
      </c>
      <c r="B1124" t="s">
        <v>292</v>
      </c>
      <c r="C1124" s="1">
        <v>43300101</v>
      </c>
      <c r="D1124" t="s">
        <v>67</v>
      </c>
      <c r="H1124" t="str">
        <f t="shared" si="148"/>
        <v>08230471008</v>
      </c>
      <c r="I1124" t="str">
        <f t="shared" si="148"/>
        <v>08230471008</v>
      </c>
      <c r="K1124" t="str">
        <f>""</f>
        <v/>
      </c>
      <c r="M1124" t="s">
        <v>68</v>
      </c>
      <c r="N1124" t="str">
        <f t="shared" si="146"/>
        <v>FOR</v>
      </c>
      <c r="O1124" t="s">
        <v>69</v>
      </c>
      <c r="P1124" t="s">
        <v>75</v>
      </c>
      <c r="Q1124">
        <v>2016</v>
      </c>
      <c r="R1124" s="4">
        <v>42453</v>
      </c>
      <c r="S1124" s="2">
        <v>42464</v>
      </c>
      <c r="T1124" s="2">
        <v>42461</v>
      </c>
      <c r="U1124" s="4">
        <v>42521</v>
      </c>
      <c r="V1124" t="s">
        <v>71</v>
      </c>
      <c r="W1124" t="str">
        <f>"               52841"</f>
        <v xml:space="preserve">               52841</v>
      </c>
      <c r="X1124">
        <v>305</v>
      </c>
      <c r="Y1124">
        <v>0</v>
      </c>
      <c r="Z1124" s="5">
        <v>250</v>
      </c>
      <c r="AA1124" s="3">
        <v>245</v>
      </c>
      <c r="AB1124" s="5">
        <v>61250</v>
      </c>
      <c r="AC1124">
        <v>250</v>
      </c>
      <c r="AD1124">
        <v>245</v>
      </c>
      <c r="AE1124" s="1">
        <v>61250</v>
      </c>
      <c r="AF1124">
        <v>0</v>
      </c>
      <c r="AJ1124">
        <v>0</v>
      </c>
      <c r="AK1124">
        <v>0</v>
      </c>
      <c r="AL1124">
        <v>0</v>
      </c>
      <c r="AM1124">
        <v>0</v>
      </c>
      <c r="AN1124">
        <v>0</v>
      </c>
      <c r="AO1124">
        <v>0</v>
      </c>
      <c r="AP1124" s="2">
        <v>42831</v>
      </c>
      <c r="AQ1124" t="s">
        <v>72</v>
      </c>
      <c r="AR1124" t="s">
        <v>72</v>
      </c>
      <c r="AS1124">
        <v>171</v>
      </c>
      <c r="AT1124" s="4">
        <v>42766</v>
      </c>
      <c r="AU1124" t="s">
        <v>73</v>
      </c>
      <c r="AV1124">
        <v>171</v>
      </c>
      <c r="AW1124" s="4">
        <v>42766</v>
      </c>
      <c r="BD1124">
        <v>0</v>
      </c>
      <c r="BN1124" t="s">
        <v>74</v>
      </c>
    </row>
    <row r="1125" spans="1:66">
      <c r="A1125">
        <v>101541</v>
      </c>
      <c r="B1125" t="s">
        <v>292</v>
      </c>
      <c r="C1125" s="1">
        <v>43300101</v>
      </c>
      <c r="D1125" t="s">
        <v>67</v>
      </c>
      <c r="H1125" t="str">
        <f t="shared" si="148"/>
        <v>08230471008</v>
      </c>
      <c r="I1125" t="str">
        <f t="shared" si="148"/>
        <v>08230471008</v>
      </c>
      <c r="K1125" t="str">
        <f>""</f>
        <v/>
      </c>
      <c r="M1125" t="s">
        <v>68</v>
      </c>
      <c r="N1125" t="str">
        <f t="shared" si="146"/>
        <v>FOR</v>
      </c>
      <c r="O1125" t="s">
        <v>69</v>
      </c>
      <c r="P1125" t="s">
        <v>75</v>
      </c>
      <c r="Q1125">
        <v>2016</v>
      </c>
      <c r="R1125" s="4">
        <v>42453</v>
      </c>
      <c r="S1125" s="2">
        <v>42464</v>
      </c>
      <c r="T1125" s="2">
        <v>42461</v>
      </c>
      <c r="U1125" s="4">
        <v>42521</v>
      </c>
      <c r="V1125" t="s">
        <v>71</v>
      </c>
      <c r="W1125" t="str">
        <f>"               52842"</f>
        <v xml:space="preserve">               52842</v>
      </c>
      <c r="X1125">
        <v>305</v>
      </c>
      <c r="Y1125">
        <v>0</v>
      </c>
      <c r="Z1125" s="5">
        <v>250</v>
      </c>
      <c r="AA1125" s="3">
        <v>245</v>
      </c>
      <c r="AB1125" s="5">
        <v>61250</v>
      </c>
      <c r="AC1125">
        <v>250</v>
      </c>
      <c r="AD1125">
        <v>245</v>
      </c>
      <c r="AE1125" s="1">
        <v>61250</v>
      </c>
      <c r="AF1125">
        <v>0</v>
      </c>
      <c r="AJ1125">
        <v>0</v>
      </c>
      <c r="AK1125">
        <v>0</v>
      </c>
      <c r="AL1125">
        <v>0</v>
      </c>
      <c r="AM1125">
        <v>0</v>
      </c>
      <c r="AN1125">
        <v>0</v>
      </c>
      <c r="AO1125">
        <v>0</v>
      </c>
      <c r="AP1125" s="2">
        <v>42831</v>
      </c>
      <c r="AQ1125" t="s">
        <v>72</v>
      </c>
      <c r="AR1125" t="s">
        <v>72</v>
      </c>
      <c r="AS1125">
        <v>171</v>
      </c>
      <c r="AT1125" s="4">
        <v>42766</v>
      </c>
      <c r="AU1125" t="s">
        <v>73</v>
      </c>
      <c r="AV1125">
        <v>171</v>
      </c>
      <c r="AW1125" s="4">
        <v>42766</v>
      </c>
      <c r="BD1125">
        <v>0</v>
      </c>
      <c r="BN1125" t="s">
        <v>74</v>
      </c>
    </row>
    <row r="1126" spans="1:66">
      <c r="A1126">
        <v>101541</v>
      </c>
      <c r="B1126" t="s">
        <v>292</v>
      </c>
      <c r="C1126" s="1">
        <v>43300101</v>
      </c>
      <c r="D1126" t="s">
        <v>67</v>
      </c>
      <c r="H1126" t="str">
        <f t="shared" si="148"/>
        <v>08230471008</v>
      </c>
      <c r="I1126" t="str">
        <f t="shared" si="148"/>
        <v>08230471008</v>
      </c>
      <c r="K1126" t="str">
        <f>""</f>
        <v/>
      </c>
      <c r="M1126" t="s">
        <v>68</v>
      </c>
      <c r="N1126" t="str">
        <f t="shared" si="146"/>
        <v>FOR</v>
      </c>
      <c r="O1126" t="s">
        <v>69</v>
      </c>
      <c r="P1126" t="s">
        <v>75</v>
      </c>
      <c r="Q1126">
        <v>2016</v>
      </c>
      <c r="R1126" s="4">
        <v>42453</v>
      </c>
      <c r="S1126" s="2">
        <v>42464</v>
      </c>
      <c r="T1126" s="2">
        <v>42461</v>
      </c>
      <c r="U1126" s="4">
        <v>42521</v>
      </c>
      <c r="V1126" t="s">
        <v>71</v>
      </c>
      <c r="W1126" t="str">
        <f>"               52843"</f>
        <v xml:space="preserve">               52843</v>
      </c>
      <c r="X1126">
        <v>305</v>
      </c>
      <c r="Y1126">
        <v>0</v>
      </c>
      <c r="Z1126" s="5">
        <v>250</v>
      </c>
      <c r="AA1126" s="3">
        <v>245</v>
      </c>
      <c r="AB1126" s="5">
        <v>61250</v>
      </c>
      <c r="AC1126">
        <v>250</v>
      </c>
      <c r="AD1126">
        <v>245</v>
      </c>
      <c r="AE1126" s="1">
        <v>61250</v>
      </c>
      <c r="AF1126">
        <v>0</v>
      </c>
      <c r="AJ1126">
        <v>0</v>
      </c>
      <c r="AK1126">
        <v>0</v>
      </c>
      <c r="AL1126">
        <v>0</v>
      </c>
      <c r="AM1126">
        <v>0</v>
      </c>
      <c r="AN1126">
        <v>0</v>
      </c>
      <c r="AO1126">
        <v>0</v>
      </c>
      <c r="AP1126" s="2">
        <v>42831</v>
      </c>
      <c r="AQ1126" t="s">
        <v>72</v>
      </c>
      <c r="AR1126" t="s">
        <v>72</v>
      </c>
      <c r="AS1126">
        <v>171</v>
      </c>
      <c r="AT1126" s="4">
        <v>42766</v>
      </c>
      <c r="AU1126" t="s">
        <v>73</v>
      </c>
      <c r="AV1126">
        <v>171</v>
      </c>
      <c r="AW1126" s="4">
        <v>42766</v>
      </c>
      <c r="BD1126">
        <v>0</v>
      </c>
      <c r="BN1126" t="s">
        <v>74</v>
      </c>
    </row>
    <row r="1127" spans="1:66">
      <c r="A1127">
        <v>101541</v>
      </c>
      <c r="B1127" t="s">
        <v>292</v>
      </c>
      <c r="C1127" s="1">
        <v>43300101</v>
      </c>
      <c r="D1127" t="s">
        <v>67</v>
      </c>
      <c r="H1127" t="str">
        <f t="shared" si="148"/>
        <v>08230471008</v>
      </c>
      <c r="I1127" t="str">
        <f t="shared" si="148"/>
        <v>08230471008</v>
      </c>
      <c r="K1127" t="str">
        <f>""</f>
        <v/>
      </c>
      <c r="M1127" t="s">
        <v>68</v>
      </c>
      <c r="N1127" t="str">
        <f t="shared" si="146"/>
        <v>FOR</v>
      </c>
      <c r="O1127" t="s">
        <v>69</v>
      </c>
      <c r="P1127" t="s">
        <v>75</v>
      </c>
      <c r="Q1127">
        <v>2016</v>
      </c>
      <c r="R1127" s="4">
        <v>42453</v>
      </c>
      <c r="S1127" s="2">
        <v>42464</v>
      </c>
      <c r="T1127" s="2">
        <v>42461</v>
      </c>
      <c r="U1127" s="4">
        <v>42521</v>
      </c>
      <c r="V1127" t="s">
        <v>71</v>
      </c>
      <c r="W1127" t="str">
        <f>"               52844"</f>
        <v xml:space="preserve">               52844</v>
      </c>
      <c r="X1127">
        <v>305</v>
      </c>
      <c r="Y1127">
        <v>0</v>
      </c>
      <c r="Z1127" s="5">
        <v>250</v>
      </c>
      <c r="AA1127" s="3">
        <v>245</v>
      </c>
      <c r="AB1127" s="5">
        <v>61250</v>
      </c>
      <c r="AC1127">
        <v>250</v>
      </c>
      <c r="AD1127">
        <v>245</v>
      </c>
      <c r="AE1127" s="1">
        <v>61250</v>
      </c>
      <c r="AF1127">
        <v>0</v>
      </c>
      <c r="AJ1127">
        <v>0</v>
      </c>
      <c r="AK1127">
        <v>0</v>
      </c>
      <c r="AL1127">
        <v>0</v>
      </c>
      <c r="AM1127">
        <v>0</v>
      </c>
      <c r="AN1127">
        <v>0</v>
      </c>
      <c r="AO1127">
        <v>0</v>
      </c>
      <c r="AP1127" s="2">
        <v>42831</v>
      </c>
      <c r="AQ1127" t="s">
        <v>72</v>
      </c>
      <c r="AR1127" t="s">
        <v>72</v>
      </c>
      <c r="AS1127">
        <v>171</v>
      </c>
      <c r="AT1127" s="4">
        <v>42766</v>
      </c>
      <c r="AU1127" t="s">
        <v>73</v>
      </c>
      <c r="AV1127">
        <v>171</v>
      </c>
      <c r="AW1127" s="4">
        <v>42766</v>
      </c>
      <c r="BD1127">
        <v>0</v>
      </c>
      <c r="BN1127" t="s">
        <v>74</v>
      </c>
    </row>
    <row r="1128" spans="1:66">
      <c r="A1128">
        <v>101541</v>
      </c>
      <c r="B1128" t="s">
        <v>292</v>
      </c>
      <c r="C1128" s="1">
        <v>43300101</v>
      </c>
      <c r="D1128" t="s">
        <v>67</v>
      </c>
      <c r="H1128" t="str">
        <f t="shared" si="148"/>
        <v>08230471008</v>
      </c>
      <c r="I1128" t="str">
        <f t="shared" si="148"/>
        <v>08230471008</v>
      </c>
      <c r="K1128" t="str">
        <f>""</f>
        <v/>
      </c>
      <c r="M1128" t="s">
        <v>68</v>
      </c>
      <c r="N1128" t="str">
        <f t="shared" si="146"/>
        <v>FOR</v>
      </c>
      <c r="O1128" t="s">
        <v>69</v>
      </c>
      <c r="P1128" t="s">
        <v>75</v>
      </c>
      <c r="Q1128">
        <v>2016</v>
      </c>
      <c r="R1128" s="4">
        <v>42453</v>
      </c>
      <c r="S1128" s="2">
        <v>42464</v>
      </c>
      <c r="T1128" s="2">
        <v>42461</v>
      </c>
      <c r="U1128" s="4">
        <v>42521</v>
      </c>
      <c r="V1128" t="s">
        <v>71</v>
      </c>
      <c r="W1128" t="str">
        <f>"               52845"</f>
        <v xml:space="preserve">               52845</v>
      </c>
      <c r="X1128">
        <v>305</v>
      </c>
      <c r="Y1128">
        <v>0</v>
      </c>
      <c r="Z1128" s="5">
        <v>250</v>
      </c>
      <c r="AA1128" s="3">
        <v>245</v>
      </c>
      <c r="AB1128" s="5">
        <v>61250</v>
      </c>
      <c r="AC1128">
        <v>250</v>
      </c>
      <c r="AD1128">
        <v>245</v>
      </c>
      <c r="AE1128" s="1">
        <v>61250</v>
      </c>
      <c r="AF1128">
        <v>0</v>
      </c>
      <c r="AJ1128">
        <v>0</v>
      </c>
      <c r="AK1128">
        <v>0</v>
      </c>
      <c r="AL1128">
        <v>0</v>
      </c>
      <c r="AM1128">
        <v>0</v>
      </c>
      <c r="AN1128">
        <v>0</v>
      </c>
      <c r="AO1128">
        <v>0</v>
      </c>
      <c r="AP1128" s="2">
        <v>42831</v>
      </c>
      <c r="AQ1128" t="s">
        <v>72</v>
      </c>
      <c r="AR1128" t="s">
        <v>72</v>
      </c>
      <c r="AS1128">
        <v>171</v>
      </c>
      <c r="AT1128" s="4">
        <v>42766</v>
      </c>
      <c r="AU1128" t="s">
        <v>73</v>
      </c>
      <c r="AV1128">
        <v>171</v>
      </c>
      <c r="AW1128" s="4">
        <v>42766</v>
      </c>
      <c r="BD1128">
        <v>0</v>
      </c>
      <c r="BN1128" t="s">
        <v>74</v>
      </c>
    </row>
    <row r="1129" spans="1:66">
      <c r="A1129">
        <v>101541</v>
      </c>
      <c r="B1129" t="s">
        <v>292</v>
      </c>
      <c r="C1129" s="1">
        <v>43300101</v>
      </c>
      <c r="D1129" t="s">
        <v>67</v>
      </c>
      <c r="H1129" t="str">
        <f t="shared" si="148"/>
        <v>08230471008</v>
      </c>
      <c r="I1129" t="str">
        <f t="shared" si="148"/>
        <v>08230471008</v>
      </c>
      <c r="K1129" t="str">
        <f>""</f>
        <v/>
      </c>
      <c r="M1129" t="s">
        <v>68</v>
      </c>
      <c r="N1129" t="str">
        <f t="shared" si="146"/>
        <v>FOR</v>
      </c>
      <c r="O1129" t="s">
        <v>69</v>
      </c>
      <c r="P1129" t="s">
        <v>75</v>
      </c>
      <c r="Q1129">
        <v>2016</v>
      </c>
      <c r="R1129" s="4">
        <v>42453</v>
      </c>
      <c r="S1129" s="2">
        <v>42464</v>
      </c>
      <c r="T1129" s="2">
        <v>42461</v>
      </c>
      <c r="U1129" s="4">
        <v>42521</v>
      </c>
      <c r="V1129" t="s">
        <v>71</v>
      </c>
      <c r="W1129" t="str">
        <f>"               52846"</f>
        <v xml:space="preserve">               52846</v>
      </c>
      <c r="X1129">
        <v>305</v>
      </c>
      <c r="Y1129">
        <v>0</v>
      </c>
      <c r="Z1129" s="5">
        <v>250</v>
      </c>
      <c r="AA1129" s="3">
        <v>245</v>
      </c>
      <c r="AB1129" s="5">
        <v>61250</v>
      </c>
      <c r="AC1129">
        <v>250</v>
      </c>
      <c r="AD1129">
        <v>245</v>
      </c>
      <c r="AE1129" s="1">
        <v>61250</v>
      </c>
      <c r="AF1129">
        <v>0</v>
      </c>
      <c r="AJ1129">
        <v>0</v>
      </c>
      <c r="AK1129">
        <v>0</v>
      </c>
      <c r="AL1129">
        <v>0</v>
      </c>
      <c r="AM1129">
        <v>0</v>
      </c>
      <c r="AN1129">
        <v>0</v>
      </c>
      <c r="AO1129">
        <v>0</v>
      </c>
      <c r="AP1129" s="2">
        <v>42831</v>
      </c>
      <c r="AQ1129" t="s">
        <v>72</v>
      </c>
      <c r="AR1129" t="s">
        <v>72</v>
      </c>
      <c r="AS1129">
        <v>171</v>
      </c>
      <c r="AT1129" s="4">
        <v>42766</v>
      </c>
      <c r="AU1129" t="s">
        <v>73</v>
      </c>
      <c r="AV1129">
        <v>171</v>
      </c>
      <c r="AW1129" s="4">
        <v>42766</v>
      </c>
      <c r="BD1129">
        <v>0</v>
      </c>
      <c r="BN1129" t="s">
        <v>74</v>
      </c>
    </row>
    <row r="1130" spans="1:66">
      <c r="A1130">
        <v>101541</v>
      </c>
      <c r="B1130" t="s">
        <v>292</v>
      </c>
      <c r="C1130" s="1">
        <v>43300101</v>
      </c>
      <c r="D1130" t="s">
        <v>67</v>
      </c>
      <c r="H1130" t="str">
        <f t="shared" si="148"/>
        <v>08230471008</v>
      </c>
      <c r="I1130" t="str">
        <f t="shared" si="148"/>
        <v>08230471008</v>
      </c>
      <c r="K1130" t="str">
        <f>""</f>
        <v/>
      </c>
      <c r="M1130" t="s">
        <v>68</v>
      </c>
      <c r="N1130" t="str">
        <f t="shared" si="146"/>
        <v>FOR</v>
      </c>
      <c r="O1130" t="s">
        <v>69</v>
      </c>
      <c r="P1130" t="s">
        <v>75</v>
      </c>
      <c r="Q1130">
        <v>2016</v>
      </c>
      <c r="R1130" s="4">
        <v>42453</v>
      </c>
      <c r="S1130" s="2">
        <v>42464</v>
      </c>
      <c r="T1130" s="2">
        <v>42461</v>
      </c>
      <c r="U1130" s="4">
        <v>42521</v>
      </c>
      <c r="V1130" t="s">
        <v>71</v>
      </c>
      <c r="W1130" t="str">
        <f>"               52847"</f>
        <v xml:space="preserve">               52847</v>
      </c>
      <c r="X1130">
        <v>305</v>
      </c>
      <c r="Y1130">
        <v>0</v>
      </c>
      <c r="Z1130" s="5">
        <v>250</v>
      </c>
      <c r="AA1130" s="3">
        <v>245</v>
      </c>
      <c r="AB1130" s="5">
        <v>61250</v>
      </c>
      <c r="AC1130">
        <v>250</v>
      </c>
      <c r="AD1130">
        <v>245</v>
      </c>
      <c r="AE1130" s="1">
        <v>61250</v>
      </c>
      <c r="AF1130">
        <v>0</v>
      </c>
      <c r="AJ1130">
        <v>0</v>
      </c>
      <c r="AK1130">
        <v>0</v>
      </c>
      <c r="AL1130">
        <v>0</v>
      </c>
      <c r="AM1130">
        <v>0</v>
      </c>
      <c r="AN1130">
        <v>0</v>
      </c>
      <c r="AO1130">
        <v>0</v>
      </c>
      <c r="AP1130" s="2">
        <v>42831</v>
      </c>
      <c r="AQ1130" t="s">
        <v>72</v>
      </c>
      <c r="AR1130" t="s">
        <v>72</v>
      </c>
      <c r="AS1130">
        <v>171</v>
      </c>
      <c r="AT1130" s="4">
        <v>42766</v>
      </c>
      <c r="AU1130" t="s">
        <v>73</v>
      </c>
      <c r="AV1130">
        <v>171</v>
      </c>
      <c r="AW1130" s="4">
        <v>42766</v>
      </c>
      <c r="BD1130">
        <v>0</v>
      </c>
      <c r="BN1130" t="s">
        <v>74</v>
      </c>
    </row>
    <row r="1131" spans="1:66">
      <c r="A1131">
        <v>101541</v>
      </c>
      <c r="B1131" t="s">
        <v>292</v>
      </c>
      <c r="C1131" s="1">
        <v>43300101</v>
      </c>
      <c r="D1131" t="s">
        <v>67</v>
      </c>
      <c r="H1131" t="str">
        <f t="shared" si="148"/>
        <v>08230471008</v>
      </c>
      <c r="I1131" t="str">
        <f t="shared" si="148"/>
        <v>08230471008</v>
      </c>
      <c r="K1131" t="str">
        <f>""</f>
        <v/>
      </c>
      <c r="M1131" t="s">
        <v>68</v>
      </c>
      <c r="N1131" t="str">
        <f t="shared" si="146"/>
        <v>FOR</v>
      </c>
      <c r="O1131" t="s">
        <v>69</v>
      </c>
      <c r="P1131" t="s">
        <v>75</v>
      </c>
      <c r="Q1131">
        <v>2016</v>
      </c>
      <c r="R1131" s="4">
        <v>42460</v>
      </c>
      <c r="S1131" s="2">
        <v>42473</v>
      </c>
      <c r="T1131" s="2">
        <v>42468</v>
      </c>
      <c r="U1131" s="4">
        <v>42528</v>
      </c>
      <c r="V1131" t="s">
        <v>71</v>
      </c>
      <c r="W1131" t="str">
        <f>"               53081"</f>
        <v xml:space="preserve">               53081</v>
      </c>
      <c r="X1131">
        <v>305</v>
      </c>
      <c r="Y1131">
        <v>0</v>
      </c>
      <c r="Z1131" s="5">
        <v>250</v>
      </c>
      <c r="AA1131" s="3">
        <v>238</v>
      </c>
      <c r="AB1131" s="5">
        <v>59500</v>
      </c>
      <c r="AC1131">
        <v>250</v>
      </c>
      <c r="AD1131">
        <v>238</v>
      </c>
      <c r="AE1131" s="1">
        <v>59500</v>
      </c>
      <c r="AF1131">
        <v>0</v>
      </c>
      <c r="AJ1131">
        <v>0</v>
      </c>
      <c r="AK1131">
        <v>0</v>
      </c>
      <c r="AL1131">
        <v>0</v>
      </c>
      <c r="AM1131">
        <v>0</v>
      </c>
      <c r="AN1131">
        <v>0</v>
      </c>
      <c r="AO1131">
        <v>0</v>
      </c>
      <c r="AP1131" s="2">
        <v>42831</v>
      </c>
      <c r="AQ1131" t="s">
        <v>72</v>
      </c>
      <c r="AR1131" t="s">
        <v>72</v>
      </c>
      <c r="AS1131">
        <v>171</v>
      </c>
      <c r="AT1131" s="4">
        <v>42766</v>
      </c>
      <c r="AU1131" t="s">
        <v>73</v>
      </c>
      <c r="AV1131">
        <v>171</v>
      </c>
      <c r="AW1131" s="4">
        <v>42766</v>
      </c>
      <c r="BD1131">
        <v>0</v>
      </c>
      <c r="BN1131" t="s">
        <v>74</v>
      </c>
    </row>
    <row r="1132" spans="1:66">
      <c r="A1132">
        <v>101541</v>
      </c>
      <c r="B1132" t="s">
        <v>292</v>
      </c>
      <c r="C1132" s="1">
        <v>43300101</v>
      </c>
      <c r="D1132" t="s">
        <v>67</v>
      </c>
      <c r="H1132" t="str">
        <f t="shared" si="148"/>
        <v>08230471008</v>
      </c>
      <c r="I1132" t="str">
        <f t="shared" si="148"/>
        <v>08230471008</v>
      </c>
      <c r="K1132" t="str">
        <f>""</f>
        <v/>
      </c>
      <c r="M1132" t="s">
        <v>68</v>
      </c>
      <c r="N1132" t="str">
        <f t="shared" si="146"/>
        <v>FOR</v>
      </c>
      <c r="O1132" t="s">
        <v>69</v>
      </c>
      <c r="P1132" t="s">
        <v>75</v>
      </c>
      <c r="Q1132">
        <v>2016</v>
      </c>
      <c r="R1132" s="4">
        <v>42460</v>
      </c>
      <c r="S1132" s="2">
        <v>42473</v>
      </c>
      <c r="T1132" s="2">
        <v>42468</v>
      </c>
      <c r="U1132" s="4">
        <v>42528</v>
      </c>
      <c r="V1132" t="s">
        <v>71</v>
      </c>
      <c r="W1132" t="str">
        <f>"               53082"</f>
        <v xml:space="preserve">               53082</v>
      </c>
      <c r="X1132">
        <v>305</v>
      </c>
      <c r="Y1132">
        <v>0</v>
      </c>
      <c r="Z1132" s="5">
        <v>250</v>
      </c>
      <c r="AA1132" s="3">
        <v>238</v>
      </c>
      <c r="AB1132" s="5">
        <v>59500</v>
      </c>
      <c r="AC1132">
        <v>250</v>
      </c>
      <c r="AD1132">
        <v>238</v>
      </c>
      <c r="AE1132" s="1">
        <v>59500</v>
      </c>
      <c r="AF1132">
        <v>0</v>
      </c>
      <c r="AJ1132">
        <v>0</v>
      </c>
      <c r="AK1132">
        <v>0</v>
      </c>
      <c r="AL1132">
        <v>0</v>
      </c>
      <c r="AM1132">
        <v>0</v>
      </c>
      <c r="AN1132">
        <v>0</v>
      </c>
      <c r="AO1132">
        <v>0</v>
      </c>
      <c r="AP1132" s="2">
        <v>42831</v>
      </c>
      <c r="AQ1132" t="s">
        <v>72</v>
      </c>
      <c r="AR1132" t="s">
        <v>72</v>
      </c>
      <c r="AS1132">
        <v>171</v>
      </c>
      <c r="AT1132" s="4">
        <v>42766</v>
      </c>
      <c r="AU1132" t="s">
        <v>73</v>
      </c>
      <c r="AV1132">
        <v>171</v>
      </c>
      <c r="AW1132" s="4">
        <v>42766</v>
      </c>
      <c r="BD1132">
        <v>0</v>
      </c>
      <c r="BN1132" t="s">
        <v>74</v>
      </c>
    </row>
    <row r="1133" spans="1:66">
      <c r="A1133">
        <v>101541</v>
      </c>
      <c r="B1133" t="s">
        <v>292</v>
      </c>
      <c r="C1133" s="1">
        <v>43300101</v>
      </c>
      <c r="D1133" t="s">
        <v>67</v>
      </c>
      <c r="H1133" t="str">
        <f t="shared" si="148"/>
        <v>08230471008</v>
      </c>
      <c r="I1133" t="str">
        <f t="shared" si="148"/>
        <v>08230471008</v>
      </c>
      <c r="K1133" t="str">
        <f>""</f>
        <v/>
      </c>
      <c r="M1133" t="s">
        <v>68</v>
      </c>
      <c r="N1133" t="str">
        <f t="shared" si="146"/>
        <v>FOR</v>
      </c>
      <c r="O1133" t="s">
        <v>69</v>
      </c>
      <c r="P1133" t="s">
        <v>75</v>
      </c>
      <c r="Q1133">
        <v>2016</v>
      </c>
      <c r="R1133" s="4">
        <v>42460</v>
      </c>
      <c r="S1133" s="2">
        <v>42473</v>
      </c>
      <c r="T1133" s="2">
        <v>42468</v>
      </c>
      <c r="U1133" s="4">
        <v>42528</v>
      </c>
      <c r="V1133" t="s">
        <v>71</v>
      </c>
      <c r="W1133" t="str">
        <f>"               53083"</f>
        <v xml:space="preserve">               53083</v>
      </c>
      <c r="X1133">
        <v>305</v>
      </c>
      <c r="Y1133">
        <v>0</v>
      </c>
      <c r="Z1133" s="5">
        <v>250</v>
      </c>
      <c r="AA1133" s="3">
        <v>238</v>
      </c>
      <c r="AB1133" s="5">
        <v>59500</v>
      </c>
      <c r="AC1133">
        <v>250</v>
      </c>
      <c r="AD1133">
        <v>238</v>
      </c>
      <c r="AE1133" s="1">
        <v>59500</v>
      </c>
      <c r="AF1133">
        <v>0</v>
      </c>
      <c r="AJ1133">
        <v>0</v>
      </c>
      <c r="AK1133">
        <v>0</v>
      </c>
      <c r="AL1133">
        <v>0</v>
      </c>
      <c r="AM1133">
        <v>0</v>
      </c>
      <c r="AN1133">
        <v>0</v>
      </c>
      <c r="AO1133">
        <v>0</v>
      </c>
      <c r="AP1133" s="2">
        <v>42831</v>
      </c>
      <c r="AQ1133" t="s">
        <v>72</v>
      </c>
      <c r="AR1133" t="s">
        <v>72</v>
      </c>
      <c r="AS1133">
        <v>171</v>
      </c>
      <c r="AT1133" s="4">
        <v>42766</v>
      </c>
      <c r="AU1133" t="s">
        <v>73</v>
      </c>
      <c r="AV1133">
        <v>171</v>
      </c>
      <c r="AW1133" s="4">
        <v>42766</v>
      </c>
      <c r="BD1133">
        <v>0</v>
      </c>
      <c r="BN1133" t="s">
        <v>74</v>
      </c>
    </row>
    <row r="1134" spans="1:66">
      <c r="A1134">
        <v>101541</v>
      </c>
      <c r="B1134" t="s">
        <v>292</v>
      </c>
      <c r="C1134" s="1">
        <v>43300101</v>
      </c>
      <c r="D1134" t="s">
        <v>67</v>
      </c>
      <c r="H1134" t="str">
        <f t="shared" si="148"/>
        <v>08230471008</v>
      </c>
      <c r="I1134" t="str">
        <f t="shared" si="148"/>
        <v>08230471008</v>
      </c>
      <c r="K1134" t="str">
        <f>""</f>
        <v/>
      </c>
      <c r="M1134" t="s">
        <v>68</v>
      </c>
      <c r="N1134" t="str">
        <f t="shared" si="146"/>
        <v>FOR</v>
      </c>
      <c r="O1134" t="s">
        <v>69</v>
      </c>
      <c r="P1134" t="s">
        <v>75</v>
      </c>
      <c r="Q1134">
        <v>2016</v>
      </c>
      <c r="R1134" s="4">
        <v>42460</v>
      </c>
      <c r="S1134" s="2">
        <v>42473</v>
      </c>
      <c r="T1134" s="2">
        <v>42468</v>
      </c>
      <c r="U1134" s="4">
        <v>42528</v>
      </c>
      <c r="V1134" t="s">
        <v>71</v>
      </c>
      <c r="W1134" t="str">
        <f>"               53084"</f>
        <v xml:space="preserve">               53084</v>
      </c>
      <c r="X1134">
        <v>305</v>
      </c>
      <c r="Y1134">
        <v>0</v>
      </c>
      <c r="Z1134" s="5">
        <v>250</v>
      </c>
      <c r="AA1134" s="3">
        <v>238</v>
      </c>
      <c r="AB1134" s="5">
        <v>59500</v>
      </c>
      <c r="AC1134">
        <v>250</v>
      </c>
      <c r="AD1134">
        <v>238</v>
      </c>
      <c r="AE1134" s="1">
        <v>59500</v>
      </c>
      <c r="AF1134">
        <v>0</v>
      </c>
      <c r="AJ1134">
        <v>0</v>
      </c>
      <c r="AK1134">
        <v>0</v>
      </c>
      <c r="AL1134">
        <v>0</v>
      </c>
      <c r="AM1134">
        <v>0</v>
      </c>
      <c r="AN1134">
        <v>0</v>
      </c>
      <c r="AO1134">
        <v>0</v>
      </c>
      <c r="AP1134" s="2">
        <v>42831</v>
      </c>
      <c r="AQ1134" t="s">
        <v>72</v>
      </c>
      <c r="AR1134" t="s">
        <v>72</v>
      </c>
      <c r="AS1134">
        <v>171</v>
      </c>
      <c r="AT1134" s="4">
        <v>42766</v>
      </c>
      <c r="AU1134" t="s">
        <v>73</v>
      </c>
      <c r="AV1134">
        <v>171</v>
      </c>
      <c r="AW1134" s="4">
        <v>42766</v>
      </c>
      <c r="BD1134">
        <v>0</v>
      </c>
      <c r="BN1134" t="s">
        <v>74</v>
      </c>
    </row>
    <row r="1135" spans="1:66">
      <c r="A1135">
        <v>101541</v>
      </c>
      <c r="B1135" t="s">
        <v>292</v>
      </c>
      <c r="C1135" s="1">
        <v>43300101</v>
      </c>
      <c r="D1135" t="s">
        <v>67</v>
      </c>
      <c r="H1135" t="str">
        <f t="shared" si="148"/>
        <v>08230471008</v>
      </c>
      <c r="I1135" t="str">
        <f t="shared" si="148"/>
        <v>08230471008</v>
      </c>
      <c r="K1135" t="str">
        <f>""</f>
        <v/>
      </c>
      <c r="M1135" t="s">
        <v>68</v>
      </c>
      <c r="N1135" t="str">
        <f t="shared" si="146"/>
        <v>FOR</v>
      </c>
      <c r="O1135" t="s">
        <v>69</v>
      </c>
      <c r="P1135" t="s">
        <v>75</v>
      </c>
      <c r="Q1135">
        <v>2016</v>
      </c>
      <c r="R1135" s="4">
        <v>42460</v>
      </c>
      <c r="S1135" s="2">
        <v>42473</v>
      </c>
      <c r="T1135" s="2">
        <v>42468</v>
      </c>
      <c r="U1135" s="4">
        <v>42528</v>
      </c>
      <c r="V1135" t="s">
        <v>71</v>
      </c>
      <c r="W1135" t="str">
        <f>"               53085"</f>
        <v xml:space="preserve">               53085</v>
      </c>
      <c r="X1135">
        <v>305</v>
      </c>
      <c r="Y1135">
        <v>0</v>
      </c>
      <c r="Z1135" s="5">
        <v>250</v>
      </c>
      <c r="AA1135" s="3">
        <v>238</v>
      </c>
      <c r="AB1135" s="5">
        <v>59500</v>
      </c>
      <c r="AC1135">
        <v>250</v>
      </c>
      <c r="AD1135">
        <v>238</v>
      </c>
      <c r="AE1135" s="1">
        <v>59500</v>
      </c>
      <c r="AF1135">
        <v>0</v>
      </c>
      <c r="AJ1135">
        <v>0</v>
      </c>
      <c r="AK1135">
        <v>0</v>
      </c>
      <c r="AL1135">
        <v>0</v>
      </c>
      <c r="AM1135">
        <v>0</v>
      </c>
      <c r="AN1135">
        <v>0</v>
      </c>
      <c r="AO1135">
        <v>0</v>
      </c>
      <c r="AP1135" s="2">
        <v>42831</v>
      </c>
      <c r="AQ1135" t="s">
        <v>72</v>
      </c>
      <c r="AR1135" t="s">
        <v>72</v>
      </c>
      <c r="AS1135">
        <v>171</v>
      </c>
      <c r="AT1135" s="4">
        <v>42766</v>
      </c>
      <c r="AU1135" t="s">
        <v>73</v>
      </c>
      <c r="AV1135">
        <v>171</v>
      </c>
      <c r="AW1135" s="4">
        <v>42766</v>
      </c>
      <c r="BD1135">
        <v>0</v>
      </c>
      <c r="BN1135" t="s">
        <v>74</v>
      </c>
    </row>
    <row r="1136" spans="1:66">
      <c r="A1136">
        <v>101541</v>
      </c>
      <c r="B1136" t="s">
        <v>292</v>
      </c>
      <c r="C1136" s="1">
        <v>43300101</v>
      </c>
      <c r="D1136" t="s">
        <v>67</v>
      </c>
      <c r="H1136" t="str">
        <f t="shared" ref="H1136:I1155" si="149">"08230471008"</f>
        <v>08230471008</v>
      </c>
      <c r="I1136" t="str">
        <f t="shared" si="149"/>
        <v>08230471008</v>
      </c>
      <c r="K1136" t="str">
        <f>""</f>
        <v/>
      </c>
      <c r="M1136" t="s">
        <v>68</v>
      </c>
      <c r="N1136" t="str">
        <f t="shared" si="146"/>
        <v>FOR</v>
      </c>
      <c r="O1136" t="s">
        <v>69</v>
      </c>
      <c r="P1136" t="s">
        <v>75</v>
      </c>
      <c r="Q1136">
        <v>2016</v>
      </c>
      <c r="R1136" s="4">
        <v>42460</v>
      </c>
      <c r="S1136" s="2">
        <v>42473</v>
      </c>
      <c r="T1136" s="2">
        <v>42468</v>
      </c>
      <c r="U1136" s="4">
        <v>42528</v>
      </c>
      <c r="V1136" t="s">
        <v>71</v>
      </c>
      <c r="W1136" t="str">
        <f>"               53086"</f>
        <v xml:space="preserve">               53086</v>
      </c>
      <c r="X1136">
        <v>305</v>
      </c>
      <c r="Y1136">
        <v>0</v>
      </c>
      <c r="Z1136" s="5">
        <v>250</v>
      </c>
      <c r="AA1136" s="3">
        <v>238</v>
      </c>
      <c r="AB1136" s="5">
        <v>59500</v>
      </c>
      <c r="AC1136">
        <v>250</v>
      </c>
      <c r="AD1136">
        <v>238</v>
      </c>
      <c r="AE1136" s="1">
        <v>59500</v>
      </c>
      <c r="AF1136">
        <v>0</v>
      </c>
      <c r="AJ1136">
        <v>0</v>
      </c>
      <c r="AK1136">
        <v>0</v>
      </c>
      <c r="AL1136">
        <v>0</v>
      </c>
      <c r="AM1136">
        <v>0</v>
      </c>
      <c r="AN1136">
        <v>0</v>
      </c>
      <c r="AO1136">
        <v>0</v>
      </c>
      <c r="AP1136" s="2">
        <v>42831</v>
      </c>
      <c r="AQ1136" t="s">
        <v>72</v>
      </c>
      <c r="AR1136" t="s">
        <v>72</v>
      </c>
      <c r="AS1136">
        <v>171</v>
      </c>
      <c r="AT1136" s="4">
        <v>42766</v>
      </c>
      <c r="AU1136" t="s">
        <v>73</v>
      </c>
      <c r="AV1136">
        <v>171</v>
      </c>
      <c r="AW1136" s="4">
        <v>42766</v>
      </c>
      <c r="BD1136">
        <v>0</v>
      </c>
      <c r="BN1136" t="s">
        <v>74</v>
      </c>
    </row>
    <row r="1137" spans="1:66">
      <c r="A1137">
        <v>101541</v>
      </c>
      <c r="B1137" t="s">
        <v>292</v>
      </c>
      <c r="C1137" s="1">
        <v>43300101</v>
      </c>
      <c r="D1137" t="s">
        <v>67</v>
      </c>
      <c r="H1137" t="str">
        <f t="shared" si="149"/>
        <v>08230471008</v>
      </c>
      <c r="I1137" t="str">
        <f t="shared" si="149"/>
        <v>08230471008</v>
      </c>
      <c r="K1137" t="str">
        <f>""</f>
        <v/>
      </c>
      <c r="M1137" t="s">
        <v>68</v>
      </c>
      <c r="N1137" t="str">
        <f t="shared" si="146"/>
        <v>FOR</v>
      </c>
      <c r="O1137" t="s">
        <v>69</v>
      </c>
      <c r="P1137" t="s">
        <v>75</v>
      </c>
      <c r="Q1137">
        <v>2016</v>
      </c>
      <c r="R1137" s="4">
        <v>42460</v>
      </c>
      <c r="S1137" s="2">
        <v>42473</v>
      </c>
      <c r="T1137" s="2">
        <v>42468</v>
      </c>
      <c r="U1137" s="4">
        <v>42528</v>
      </c>
      <c r="V1137" t="s">
        <v>71</v>
      </c>
      <c r="W1137" t="str">
        <f>"               53087"</f>
        <v xml:space="preserve">               53087</v>
      </c>
      <c r="X1137">
        <v>305</v>
      </c>
      <c r="Y1137">
        <v>0</v>
      </c>
      <c r="Z1137" s="5">
        <v>250</v>
      </c>
      <c r="AA1137" s="3">
        <v>238</v>
      </c>
      <c r="AB1137" s="5">
        <v>59500</v>
      </c>
      <c r="AC1137">
        <v>250</v>
      </c>
      <c r="AD1137">
        <v>238</v>
      </c>
      <c r="AE1137" s="1">
        <v>59500</v>
      </c>
      <c r="AF1137">
        <v>0</v>
      </c>
      <c r="AJ1137">
        <v>0</v>
      </c>
      <c r="AK1137">
        <v>0</v>
      </c>
      <c r="AL1137">
        <v>0</v>
      </c>
      <c r="AM1137">
        <v>0</v>
      </c>
      <c r="AN1137">
        <v>0</v>
      </c>
      <c r="AO1137">
        <v>0</v>
      </c>
      <c r="AP1137" s="2">
        <v>42831</v>
      </c>
      <c r="AQ1137" t="s">
        <v>72</v>
      </c>
      <c r="AR1137" t="s">
        <v>72</v>
      </c>
      <c r="AS1137">
        <v>171</v>
      </c>
      <c r="AT1137" s="4">
        <v>42766</v>
      </c>
      <c r="AU1137" t="s">
        <v>73</v>
      </c>
      <c r="AV1137">
        <v>171</v>
      </c>
      <c r="AW1137" s="4">
        <v>42766</v>
      </c>
      <c r="BD1137">
        <v>0</v>
      </c>
      <c r="BN1137" t="s">
        <v>74</v>
      </c>
    </row>
    <row r="1138" spans="1:66">
      <c r="A1138">
        <v>101541</v>
      </c>
      <c r="B1138" t="s">
        <v>292</v>
      </c>
      <c r="C1138" s="1">
        <v>43300101</v>
      </c>
      <c r="D1138" t="s">
        <v>67</v>
      </c>
      <c r="H1138" t="str">
        <f t="shared" si="149"/>
        <v>08230471008</v>
      </c>
      <c r="I1138" t="str">
        <f t="shared" si="149"/>
        <v>08230471008</v>
      </c>
      <c r="K1138" t="str">
        <f>""</f>
        <v/>
      </c>
      <c r="M1138" t="s">
        <v>68</v>
      </c>
      <c r="N1138" t="str">
        <f t="shared" si="146"/>
        <v>FOR</v>
      </c>
      <c r="O1138" t="s">
        <v>69</v>
      </c>
      <c r="P1138" t="s">
        <v>75</v>
      </c>
      <c r="Q1138">
        <v>2016</v>
      </c>
      <c r="R1138" s="4">
        <v>42460</v>
      </c>
      <c r="S1138" s="2">
        <v>42473</v>
      </c>
      <c r="T1138" s="2">
        <v>42469</v>
      </c>
      <c r="U1138" s="4">
        <v>42529</v>
      </c>
      <c r="V1138" t="s">
        <v>71</v>
      </c>
      <c r="W1138" t="str">
        <f>"               53448"</f>
        <v xml:space="preserve">               53448</v>
      </c>
      <c r="X1138">
        <v>305</v>
      </c>
      <c r="Y1138">
        <v>0</v>
      </c>
      <c r="Z1138" s="5">
        <v>250</v>
      </c>
      <c r="AA1138" s="3">
        <v>237</v>
      </c>
      <c r="AB1138" s="5">
        <v>59250</v>
      </c>
      <c r="AC1138">
        <v>250</v>
      </c>
      <c r="AD1138">
        <v>237</v>
      </c>
      <c r="AE1138" s="1">
        <v>59250</v>
      </c>
      <c r="AF1138">
        <v>0</v>
      </c>
      <c r="AJ1138">
        <v>0</v>
      </c>
      <c r="AK1138">
        <v>0</v>
      </c>
      <c r="AL1138">
        <v>0</v>
      </c>
      <c r="AM1138">
        <v>0</v>
      </c>
      <c r="AN1138">
        <v>0</v>
      </c>
      <c r="AO1138">
        <v>0</v>
      </c>
      <c r="AP1138" s="2">
        <v>42831</v>
      </c>
      <c r="AQ1138" t="s">
        <v>72</v>
      </c>
      <c r="AR1138" t="s">
        <v>72</v>
      </c>
      <c r="AS1138">
        <v>171</v>
      </c>
      <c r="AT1138" s="4">
        <v>42766</v>
      </c>
      <c r="AU1138" t="s">
        <v>73</v>
      </c>
      <c r="AV1138">
        <v>171</v>
      </c>
      <c r="AW1138" s="4">
        <v>42766</v>
      </c>
      <c r="BD1138">
        <v>0</v>
      </c>
      <c r="BN1138" t="s">
        <v>74</v>
      </c>
    </row>
    <row r="1139" spans="1:66">
      <c r="A1139">
        <v>101541</v>
      </c>
      <c r="B1139" t="s">
        <v>292</v>
      </c>
      <c r="C1139" s="1">
        <v>43300101</v>
      </c>
      <c r="D1139" t="s">
        <v>67</v>
      </c>
      <c r="H1139" t="str">
        <f t="shared" si="149"/>
        <v>08230471008</v>
      </c>
      <c r="I1139" t="str">
        <f t="shared" si="149"/>
        <v>08230471008</v>
      </c>
      <c r="K1139" t="str">
        <f>""</f>
        <v/>
      </c>
      <c r="M1139" t="s">
        <v>68</v>
      </c>
      <c r="N1139" t="str">
        <f t="shared" si="146"/>
        <v>FOR</v>
      </c>
      <c r="O1139" t="s">
        <v>69</v>
      </c>
      <c r="P1139" t="s">
        <v>75</v>
      </c>
      <c r="Q1139">
        <v>2016</v>
      </c>
      <c r="R1139" s="4">
        <v>42460</v>
      </c>
      <c r="S1139" s="2">
        <v>42473</v>
      </c>
      <c r="T1139" s="2">
        <v>42469</v>
      </c>
      <c r="U1139" s="4">
        <v>42529</v>
      </c>
      <c r="V1139" t="s">
        <v>71</v>
      </c>
      <c r="W1139" t="str">
        <f>"               53449"</f>
        <v xml:space="preserve">               53449</v>
      </c>
      <c r="X1139">
        <v>305</v>
      </c>
      <c r="Y1139">
        <v>0</v>
      </c>
      <c r="Z1139" s="5">
        <v>250</v>
      </c>
      <c r="AA1139" s="3">
        <v>237</v>
      </c>
      <c r="AB1139" s="5">
        <v>59250</v>
      </c>
      <c r="AC1139">
        <v>250</v>
      </c>
      <c r="AD1139">
        <v>237</v>
      </c>
      <c r="AE1139" s="1">
        <v>59250</v>
      </c>
      <c r="AF1139">
        <v>0</v>
      </c>
      <c r="AJ1139">
        <v>0</v>
      </c>
      <c r="AK1139">
        <v>0</v>
      </c>
      <c r="AL1139">
        <v>0</v>
      </c>
      <c r="AM1139">
        <v>0</v>
      </c>
      <c r="AN1139">
        <v>0</v>
      </c>
      <c r="AO1139">
        <v>0</v>
      </c>
      <c r="AP1139" s="2">
        <v>42831</v>
      </c>
      <c r="AQ1139" t="s">
        <v>72</v>
      </c>
      <c r="AR1139" t="s">
        <v>72</v>
      </c>
      <c r="AS1139">
        <v>171</v>
      </c>
      <c r="AT1139" s="4">
        <v>42766</v>
      </c>
      <c r="AU1139" t="s">
        <v>73</v>
      </c>
      <c r="AV1139">
        <v>171</v>
      </c>
      <c r="AW1139" s="4">
        <v>42766</v>
      </c>
      <c r="BD1139">
        <v>0</v>
      </c>
      <c r="BN1139" t="s">
        <v>74</v>
      </c>
    </row>
    <row r="1140" spans="1:66">
      <c r="A1140">
        <v>101541</v>
      </c>
      <c r="B1140" t="s">
        <v>292</v>
      </c>
      <c r="C1140" s="1">
        <v>43300101</v>
      </c>
      <c r="D1140" t="s">
        <v>67</v>
      </c>
      <c r="H1140" t="str">
        <f t="shared" si="149"/>
        <v>08230471008</v>
      </c>
      <c r="I1140" t="str">
        <f t="shared" si="149"/>
        <v>08230471008</v>
      </c>
      <c r="K1140" t="str">
        <f>""</f>
        <v/>
      </c>
      <c r="M1140" t="s">
        <v>68</v>
      </c>
      <c r="N1140" t="str">
        <f t="shared" si="146"/>
        <v>FOR</v>
      </c>
      <c r="O1140" t="s">
        <v>69</v>
      </c>
      <c r="P1140" t="s">
        <v>75</v>
      </c>
      <c r="Q1140">
        <v>2016</v>
      </c>
      <c r="R1140" s="4">
        <v>42460</v>
      </c>
      <c r="S1140" s="2">
        <v>42473</v>
      </c>
      <c r="T1140" s="2">
        <v>42469</v>
      </c>
      <c r="U1140" s="4">
        <v>42529</v>
      </c>
      <c r="V1140" t="s">
        <v>71</v>
      </c>
      <c r="W1140" t="str">
        <f>"               53450"</f>
        <v xml:space="preserve">               53450</v>
      </c>
      <c r="X1140">
        <v>305</v>
      </c>
      <c r="Y1140">
        <v>0</v>
      </c>
      <c r="Z1140" s="5">
        <v>250</v>
      </c>
      <c r="AA1140" s="3">
        <v>237</v>
      </c>
      <c r="AB1140" s="5">
        <v>59250</v>
      </c>
      <c r="AC1140">
        <v>250</v>
      </c>
      <c r="AD1140">
        <v>237</v>
      </c>
      <c r="AE1140" s="1">
        <v>59250</v>
      </c>
      <c r="AF1140">
        <v>0</v>
      </c>
      <c r="AJ1140">
        <v>0</v>
      </c>
      <c r="AK1140">
        <v>0</v>
      </c>
      <c r="AL1140">
        <v>0</v>
      </c>
      <c r="AM1140">
        <v>0</v>
      </c>
      <c r="AN1140">
        <v>0</v>
      </c>
      <c r="AO1140">
        <v>0</v>
      </c>
      <c r="AP1140" s="2">
        <v>42831</v>
      </c>
      <c r="AQ1140" t="s">
        <v>72</v>
      </c>
      <c r="AR1140" t="s">
        <v>72</v>
      </c>
      <c r="AS1140">
        <v>171</v>
      </c>
      <c r="AT1140" s="4">
        <v>42766</v>
      </c>
      <c r="AU1140" t="s">
        <v>73</v>
      </c>
      <c r="AV1140">
        <v>171</v>
      </c>
      <c r="AW1140" s="4">
        <v>42766</v>
      </c>
      <c r="BD1140">
        <v>0</v>
      </c>
      <c r="BN1140" t="s">
        <v>74</v>
      </c>
    </row>
    <row r="1141" spans="1:66">
      <c r="A1141">
        <v>101541</v>
      </c>
      <c r="B1141" t="s">
        <v>292</v>
      </c>
      <c r="C1141" s="1">
        <v>43300101</v>
      </c>
      <c r="D1141" t="s">
        <v>67</v>
      </c>
      <c r="H1141" t="str">
        <f t="shared" si="149"/>
        <v>08230471008</v>
      </c>
      <c r="I1141" t="str">
        <f t="shared" si="149"/>
        <v>08230471008</v>
      </c>
      <c r="K1141" t="str">
        <f>""</f>
        <v/>
      </c>
      <c r="M1141" t="s">
        <v>68</v>
      </c>
      <c r="N1141" t="str">
        <f t="shared" ref="N1141:N1172" si="150">"FOR"</f>
        <v>FOR</v>
      </c>
      <c r="O1141" t="s">
        <v>69</v>
      </c>
      <c r="P1141" t="s">
        <v>75</v>
      </c>
      <c r="Q1141">
        <v>2016</v>
      </c>
      <c r="R1141" s="4">
        <v>42460</v>
      </c>
      <c r="S1141" s="2">
        <v>42473</v>
      </c>
      <c r="T1141" s="2">
        <v>42469</v>
      </c>
      <c r="U1141" s="4">
        <v>42529</v>
      </c>
      <c r="V1141" t="s">
        <v>71</v>
      </c>
      <c r="W1141" t="str">
        <f>"               53451"</f>
        <v xml:space="preserve">               53451</v>
      </c>
      <c r="X1141">
        <v>305</v>
      </c>
      <c r="Y1141">
        <v>0</v>
      </c>
      <c r="Z1141" s="5">
        <v>250</v>
      </c>
      <c r="AA1141" s="3">
        <v>237</v>
      </c>
      <c r="AB1141" s="5">
        <v>59250</v>
      </c>
      <c r="AC1141">
        <v>250</v>
      </c>
      <c r="AD1141">
        <v>237</v>
      </c>
      <c r="AE1141" s="1">
        <v>59250</v>
      </c>
      <c r="AF1141">
        <v>0</v>
      </c>
      <c r="AJ1141">
        <v>0</v>
      </c>
      <c r="AK1141">
        <v>0</v>
      </c>
      <c r="AL1141">
        <v>0</v>
      </c>
      <c r="AM1141">
        <v>0</v>
      </c>
      <c r="AN1141">
        <v>0</v>
      </c>
      <c r="AO1141">
        <v>0</v>
      </c>
      <c r="AP1141" s="2">
        <v>42831</v>
      </c>
      <c r="AQ1141" t="s">
        <v>72</v>
      </c>
      <c r="AR1141" t="s">
        <v>72</v>
      </c>
      <c r="AS1141">
        <v>171</v>
      </c>
      <c r="AT1141" s="4">
        <v>42766</v>
      </c>
      <c r="AU1141" t="s">
        <v>73</v>
      </c>
      <c r="AV1141">
        <v>171</v>
      </c>
      <c r="AW1141" s="4">
        <v>42766</v>
      </c>
      <c r="BD1141">
        <v>0</v>
      </c>
      <c r="BN1141" t="s">
        <v>74</v>
      </c>
    </row>
    <row r="1142" spans="1:66">
      <c r="A1142">
        <v>101541</v>
      </c>
      <c r="B1142" t="s">
        <v>292</v>
      </c>
      <c r="C1142" s="1">
        <v>43300101</v>
      </c>
      <c r="D1142" t="s">
        <v>67</v>
      </c>
      <c r="H1142" t="str">
        <f t="shared" si="149"/>
        <v>08230471008</v>
      </c>
      <c r="I1142" t="str">
        <f t="shared" si="149"/>
        <v>08230471008</v>
      </c>
      <c r="K1142" t="str">
        <f>""</f>
        <v/>
      </c>
      <c r="M1142" t="s">
        <v>68</v>
      </c>
      <c r="N1142" t="str">
        <f t="shared" si="150"/>
        <v>FOR</v>
      </c>
      <c r="O1142" t="s">
        <v>69</v>
      </c>
      <c r="P1142" t="s">
        <v>75</v>
      </c>
      <c r="Q1142">
        <v>2016</v>
      </c>
      <c r="R1142" s="4">
        <v>42460</v>
      </c>
      <c r="S1142" s="2">
        <v>42473</v>
      </c>
      <c r="T1142" s="2">
        <v>42469</v>
      </c>
      <c r="U1142" s="4">
        <v>42529</v>
      </c>
      <c r="V1142" t="s">
        <v>71</v>
      </c>
      <c r="W1142" t="str">
        <f>"               53452"</f>
        <v xml:space="preserve">               53452</v>
      </c>
      <c r="X1142">
        <v>305</v>
      </c>
      <c r="Y1142">
        <v>0</v>
      </c>
      <c r="Z1142" s="5">
        <v>250</v>
      </c>
      <c r="AA1142" s="3">
        <v>237</v>
      </c>
      <c r="AB1142" s="5">
        <v>59250</v>
      </c>
      <c r="AC1142">
        <v>250</v>
      </c>
      <c r="AD1142">
        <v>237</v>
      </c>
      <c r="AE1142" s="1">
        <v>59250</v>
      </c>
      <c r="AF1142">
        <v>0</v>
      </c>
      <c r="AJ1142">
        <v>0</v>
      </c>
      <c r="AK1142">
        <v>0</v>
      </c>
      <c r="AL1142">
        <v>0</v>
      </c>
      <c r="AM1142">
        <v>0</v>
      </c>
      <c r="AN1142">
        <v>0</v>
      </c>
      <c r="AO1142">
        <v>0</v>
      </c>
      <c r="AP1142" s="2">
        <v>42831</v>
      </c>
      <c r="AQ1142" t="s">
        <v>72</v>
      </c>
      <c r="AR1142" t="s">
        <v>72</v>
      </c>
      <c r="AS1142">
        <v>171</v>
      </c>
      <c r="AT1142" s="4">
        <v>42766</v>
      </c>
      <c r="AU1142" t="s">
        <v>73</v>
      </c>
      <c r="AV1142">
        <v>171</v>
      </c>
      <c r="AW1142" s="4">
        <v>42766</v>
      </c>
      <c r="BD1142">
        <v>0</v>
      </c>
      <c r="BN1142" t="s">
        <v>74</v>
      </c>
    </row>
    <row r="1143" spans="1:66">
      <c r="A1143">
        <v>101541</v>
      </c>
      <c r="B1143" t="s">
        <v>292</v>
      </c>
      <c r="C1143" s="1">
        <v>43300101</v>
      </c>
      <c r="D1143" t="s">
        <v>67</v>
      </c>
      <c r="H1143" t="str">
        <f t="shared" si="149"/>
        <v>08230471008</v>
      </c>
      <c r="I1143" t="str">
        <f t="shared" si="149"/>
        <v>08230471008</v>
      </c>
      <c r="K1143" t="str">
        <f>""</f>
        <v/>
      </c>
      <c r="M1143" t="s">
        <v>68</v>
      </c>
      <c r="N1143" t="str">
        <f t="shared" si="150"/>
        <v>FOR</v>
      </c>
      <c r="O1143" t="s">
        <v>69</v>
      </c>
      <c r="P1143" t="s">
        <v>75</v>
      </c>
      <c r="Q1143">
        <v>2016</v>
      </c>
      <c r="R1143" s="4">
        <v>42460</v>
      </c>
      <c r="S1143" s="2">
        <v>42473</v>
      </c>
      <c r="T1143" s="2">
        <v>42468</v>
      </c>
      <c r="U1143" s="4">
        <v>42528</v>
      </c>
      <c r="V1143" t="s">
        <v>71</v>
      </c>
      <c r="W1143" t="str">
        <f>"               53453"</f>
        <v xml:space="preserve">               53453</v>
      </c>
      <c r="X1143">
        <v>305</v>
      </c>
      <c r="Y1143">
        <v>0</v>
      </c>
      <c r="Z1143" s="5">
        <v>250</v>
      </c>
      <c r="AA1143" s="3">
        <v>238</v>
      </c>
      <c r="AB1143" s="5">
        <v>59500</v>
      </c>
      <c r="AC1143">
        <v>250</v>
      </c>
      <c r="AD1143">
        <v>238</v>
      </c>
      <c r="AE1143" s="1">
        <v>59500</v>
      </c>
      <c r="AF1143">
        <v>0</v>
      </c>
      <c r="AJ1143">
        <v>0</v>
      </c>
      <c r="AK1143">
        <v>0</v>
      </c>
      <c r="AL1143">
        <v>0</v>
      </c>
      <c r="AM1143">
        <v>0</v>
      </c>
      <c r="AN1143">
        <v>0</v>
      </c>
      <c r="AO1143">
        <v>0</v>
      </c>
      <c r="AP1143" s="2">
        <v>42831</v>
      </c>
      <c r="AQ1143" t="s">
        <v>72</v>
      </c>
      <c r="AR1143" t="s">
        <v>72</v>
      </c>
      <c r="AS1143">
        <v>171</v>
      </c>
      <c r="AT1143" s="4">
        <v>42766</v>
      </c>
      <c r="AU1143" t="s">
        <v>73</v>
      </c>
      <c r="AV1143">
        <v>171</v>
      </c>
      <c r="AW1143" s="4">
        <v>42766</v>
      </c>
      <c r="BD1143">
        <v>0</v>
      </c>
      <c r="BN1143" t="s">
        <v>74</v>
      </c>
    </row>
    <row r="1144" spans="1:66">
      <c r="A1144">
        <v>101541</v>
      </c>
      <c r="B1144" t="s">
        <v>292</v>
      </c>
      <c r="C1144" s="1">
        <v>43300101</v>
      </c>
      <c r="D1144" t="s">
        <v>67</v>
      </c>
      <c r="H1144" t="str">
        <f t="shared" si="149"/>
        <v>08230471008</v>
      </c>
      <c r="I1144" t="str">
        <f t="shared" si="149"/>
        <v>08230471008</v>
      </c>
      <c r="K1144" t="str">
        <f>""</f>
        <v/>
      </c>
      <c r="M1144" t="s">
        <v>68</v>
      </c>
      <c r="N1144" t="str">
        <f t="shared" si="150"/>
        <v>FOR</v>
      </c>
      <c r="O1144" t="s">
        <v>69</v>
      </c>
      <c r="P1144" t="s">
        <v>75</v>
      </c>
      <c r="Q1144">
        <v>2016</v>
      </c>
      <c r="R1144" s="4">
        <v>42490</v>
      </c>
      <c r="S1144" s="2">
        <v>42496</v>
      </c>
      <c r="T1144" s="2">
        <v>42496</v>
      </c>
      <c r="U1144" s="4">
        <v>42556</v>
      </c>
      <c r="V1144" t="s">
        <v>71</v>
      </c>
      <c r="W1144" t="str">
        <f>"               53793"</f>
        <v xml:space="preserve">               53793</v>
      </c>
      <c r="X1144">
        <v>728</v>
      </c>
      <c r="Y1144">
        <v>0</v>
      </c>
      <c r="Z1144" s="5">
        <v>700</v>
      </c>
      <c r="AA1144" s="3">
        <v>224</v>
      </c>
      <c r="AB1144" s="5">
        <v>156800</v>
      </c>
      <c r="AC1144">
        <v>700</v>
      </c>
      <c r="AD1144">
        <v>224</v>
      </c>
      <c r="AE1144" s="1">
        <v>156800</v>
      </c>
      <c r="AF1144">
        <v>0</v>
      </c>
      <c r="AJ1144">
        <v>0</v>
      </c>
      <c r="AK1144">
        <v>0</v>
      </c>
      <c r="AL1144">
        <v>0</v>
      </c>
      <c r="AM1144">
        <v>0</v>
      </c>
      <c r="AN1144">
        <v>0</v>
      </c>
      <c r="AO1144">
        <v>0</v>
      </c>
      <c r="AP1144" s="2">
        <v>42831</v>
      </c>
      <c r="AQ1144" t="s">
        <v>72</v>
      </c>
      <c r="AR1144" t="s">
        <v>72</v>
      </c>
      <c r="AS1144">
        <v>427</v>
      </c>
      <c r="AT1144" s="4">
        <v>42780</v>
      </c>
      <c r="AU1144" t="s">
        <v>73</v>
      </c>
      <c r="AV1144">
        <v>427</v>
      </c>
      <c r="AW1144" s="4">
        <v>42780</v>
      </c>
      <c r="BD1144">
        <v>0</v>
      </c>
      <c r="BN1144" t="s">
        <v>74</v>
      </c>
    </row>
    <row r="1145" spans="1:66">
      <c r="A1145">
        <v>101541</v>
      </c>
      <c r="B1145" t="s">
        <v>292</v>
      </c>
      <c r="C1145" s="1">
        <v>43300101</v>
      </c>
      <c r="D1145" t="s">
        <v>67</v>
      </c>
      <c r="H1145" t="str">
        <f t="shared" si="149"/>
        <v>08230471008</v>
      </c>
      <c r="I1145" t="str">
        <f t="shared" si="149"/>
        <v>08230471008</v>
      </c>
      <c r="K1145" t="str">
        <f>""</f>
        <v/>
      </c>
      <c r="M1145" t="s">
        <v>68</v>
      </c>
      <c r="N1145" t="str">
        <f t="shared" si="150"/>
        <v>FOR</v>
      </c>
      <c r="O1145" t="s">
        <v>69</v>
      </c>
      <c r="P1145" t="s">
        <v>75</v>
      </c>
      <c r="Q1145">
        <v>2016</v>
      </c>
      <c r="R1145" s="4">
        <v>42490</v>
      </c>
      <c r="S1145" s="2">
        <v>42496</v>
      </c>
      <c r="T1145" s="2">
        <v>42496</v>
      </c>
      <c r="U1145" s="4">
        <v>42556</v>
      </c>
      <c r="V1145" t="s">
        <v>71</v>
      </c>
      <c r="W1145" t="str">
        <f>"               53794"</f>
        <v xml:space="preserve">               53794</v>
      </c>
      <c r="X1145">
        <v>671</v>
      </c>
      <c r="Y1145">
        <v>0</v>
      </c>
      <c r="Z1145" s="5">
        <v>550</v>
      </c>
      <c r="AA1145" s="3">
        <v>224</v>
      </c>
      <c r="AB1145" s="5">
        <v>123200</v>
      </c>
      <c r="AC1145">
        <v>550</v>
      </c>
      <c r="AD1145">
        <v>224</v>
      </c>
      <c r="AE1145" s="1">
        <v>123200</v>
      </c>
      <c r="AF1145">
        <v>0</v>
      </c>
      <c r="AJ1145">
        <v>0</v>
      </c>
      <c r="AK1145">
        <v>0</v>
      </c>
      <c r="AL1145">
        <v>0</v>
      </c>
      <c r="AM1145">
        <v>0</v>
      </c>
      <c r="AN1145">
        <v>0</v>
      </c>
      <c r="AO1145">
        <v>0</v>
      </c>
      <c r="AP1145" s="2">
        <v>42831</v>
      </c>
      <c r="AQ1145" t="s">
        <v>72</v>
      </c>
      <c r="AR1145" t="s">
        <v>72</v>
      </c>
      <c r="AS1145">
        <v>427</v>
      </c>
      <c r="AT1145" s="4">
        <v>42780</v>
      </c>
      <c r="AU1145" t="s">
        <v>73</v>
      </c>
      <c r="AV1145">
        <v>427</v>
      </c>
      <c r="AW1145" s="4">
        <v>42780</v>
      </c>
      <c r="BD1145">
        <v>0</v>
      </c>
      <c r="BN1145" t="s">
        <v>74</v>
      </c>
    </row>
    <row r="1146" spans="1:66">
      <c r="A1146">
        <v>101541</v>
      </c>
      <c r="B1146" t="s">
        <v>292</v>
      </c>
      <c r="C1146" s="1">
        <v>43300101</v>
      </c>
      <c r="D1146" t="s">
        <v>67</v>
      </c>
      <c r="H1146" t="str">
        <f t="shared" si="149"/>
        <v>08230471008</v>
      </c>
      <c r="I1146" t="str">
        <f t="shared" si="149"/>
        <v>08230471008</v>
      </c>
      <c r="K1146" t="str">
        <f>""</f>
        <v/>
      </c>
      <c r="M1146" t="s">
        <v>68</v>
      </c>
      <c r="N1146" t="str">
        <f t="shared" si="150"/>
        <v>FOR</v>
      </c>
      <c r="O1146" t="s">
        <v>69</v>
      </c>
      <c r="P1146" t="s">
        <v>75</v>
      </c>
      <c r="Q1146">
        <v>2016</v>
      </c>
      <c r="R1146" s="4">
        <v>42490</v>
      </c>
      <c r="S1146" s="2">
        <v>42496</v>
      </c>
      <c r="T1146" s="2">
        <v>42496</v>
      </c>
      <c r="U1146" s="4">
        <v>42556</v>
      </c>
      <c r="V1146" t="s">
        <v>71</v>
      </c>
      <c r="W1146" t="str">
        <f>"               53795"</f>
        <v xml:space="preserve">               53795</v>
      </c>
      <c r="X1146">
        <v>305</v>
      </c>
      <c r="Y1146">
        <v>0</v>
      </c>
      <c r="Z1146" s="5">
        <v>250</v>
      </c>
      <c r="AA1146" s="3">
        <v>224</v>
      </c>
      <c r="AB1146" s="5">
        <v>56000</v>
      </c>
      <c r="AC1146">
        <v>250</v>
      </c>
      <c r="AD1146">
        <v>224</v>
      </c>
      <c r="AE1146" s="1">
        <v>56000</v>
      </c>
      <c r="AF1146">
        <v>0</v>
      </c>
      <c r="AJ1146">
        <v>0</v>
      </c>
      <c r="AK1146">
        <v>0</v>
      </c>
      <c r="AL1146">
        <v>0</v>
      </c>
      <c r="AM1146">
        <v>0</v>
      </c>
      <c r="AN1146">
        <v>0</v>
      </c>
      <c r="AO1146">
        <v>0</v>
      </c>
      <c r="AP1146" s="2">
        <v>42831</v>
      </c>
      <c r="AQ1146" t="s">
        <v>72</v>
      </c>
      <c r="AR1146" t="s">
        <v>72</v>
      </c>
      <c r="AS1146">
        <v>427</v>
      </c>
      <c r="AT1146" s="4">
        <v>42780</v>
      </c>
      <c r="AU1146" t="s">
        <v>73</v>
      </c>
      <c r="AV1146">
        <v>427</v>
      </c>
      <c r="AW1146" s="4">
        <v>42780</v>
      </c>
      <c r="BD1146">
        <v>0</v>
      </c>
      <c r="BN1146" t="s">
        <v>74</v>
      </c>
    </row>
    <row r="1147" spans="1:66">
      <c r="A1147">
        <v>101541</v>
      </c>
      <c r="B1147" t="s">
        <v>292</v>
      </c>
      <c r="C1147" s="1">
        <v>43300101</v>
      </c>
      <c r="D1147" t="s">
        <v>67</v>
      </c>
      <c r="H1147" t="str">
        <f t="shared" si="149"/>
        <v>08230471008</v>
      </c>
      <c r="I1147" t="str">
        <f t="shared" si="149"/>
        <v>08230471008</v>
      </c>
      <c r="K1147" t="str">
        <f>""</f>
        <v/>
      </c>
      <c r="M1147" t="s">
        <v>68</v>
      </c>
      <c r="N1147" t="str">
        <f t="shared" si="150"/>
        <v>FOR</v>
      </c>
      <c r="O1147" t="s">
        <v>69</v>
      </c>
      <c r="P1147" t="s">
        <v>75</v>
      </c>
      <c r="Q1147">
        <v>2016</v>
      </c>
      <c r="R1147" s="4">
        <v>42490</v>
      </c>
      <c r="S1147" s="2">
        <v>42496</v>
      </c>
      <c r="T1147" s="2">
        <v>42496</v>
      </c>
      <c r="U1147" s="4">
        <v>42556</v>
      </c>
      <c r="V1147" t="s">
        <v>71</v>
      </c>
      <c r="W1147" t="str">
        <f>"               53796"</f>
        <v xml:space="preserve">               53796</v>
      </c>
      <c r="X1147">
        <v>305</v>
      </c>
      <c r="Y1147">
        <v>0</v>
      </c>
      <c r="Z1147" s="5">
        <v>250</v>
      </c>
      <c r="AA1147" s="3">
        <v>224</v>
      </c>
      <c r="AB1147" s="5">
        <v>56000</v>
      </c>
      <c r="AC1147">
        <v>250</v>
      </c>
      <c r="AD1147">
        <v>224</v>
      </c>
      <c r="AE1147" s="1">
        <v>56000</v>
      </c>
      <c r="AF1147">
        <v>0</v>
      </c>
      <c r="AJ1147">
        <v>0</v>
      </c>
      <c r="AK1147">
        <v>0</v>
      </c>
      <c r="AL1147">
        <v>0</v>
      </c>
      <c r="AM1147">
        <v>0</v>
      </c>
      <c r="AN1147">
        <v>0</v>
      </c>
      <c r="AO1147">
        <v>0</v>
      </c>
      <c r="AP1147" s="2">
        <v>42831</v>
      </c>
      <c r="AQ1147" t="s">
        <v>72</v>
      </c>
      <c r="AR1147" t="s">
        <v>72</v>
      </c>
      <c r="AS1147">
        <v>427</v>
      </c>
      <c r="AT1147" s="4">
        <v>42780</v>
      </c>
      <c r="AU1147" t="s">
        <v>73</v>
      </c>
      <c r="AV1147">
        <v>427</v>
      </c>
      <c r="AW1147" s="4">
        <v>42780</v>
      </c>
      <c r="BD1147">
        <v>0</v>
      </c>
      <c r="BN1147" t="s">
        <v>74</v>
      </c>
    </row>
    <row r="1148" spans="1:66">
      <c r="A1148">
        <v>101541</v>
      </c>
      <c r="B1148" t="s">
        <v>292</v>
      </c>
      <c r="C1148" s="1">
        <v>43300101</v>
      </c>
      <c r="D1148" t="s">
        <v>67</v>
      </c>
      <c r="H1148" t="str">
        <f t="shared" si="149"/>
        <v>08230471008</v>
      </c>
      <c r="I1148" t="str">
        <f t="shared" si="149"/>
        <v>08230471008</v>
      </c>
      <c r="K1148" t="str">
        <f>""</f>
        <v/>
      </c>
      <c r="M1148" t="s">
        <v>68</v>
      </c>
      <c r="N1148" t="str">
        <f t="shared" si="150"/>
        <v>FOR</v>
      </c>
      <c r="O1148" t="s">
        <v>69</v>
      </c>
      <c r="P1148" t="s">
        <v>75</v>
      </c>
      <c r="Q1148">
        <v>2016</v>
      </c>
      <c r="R1148" s="4">
        <v>42490</v>
      </c>
      <c r="S1148" s="2">
        <v>42496</v>
      </c>
      <c r="T1148" s="2">
        <v>42496</v>
      </c>
      <c r="U1148" s="4">
        <v>42556</v>
      </c>
      <c r="V1148" t="s">
        <v>71</v>
      </c>
      <c r="W1148" t="str">
        <f>"               53797"</f>
        <v xml:space="preserve">               53797</v>
      </c>
      <c r="X1148">
        <v>305</v>
      </c>
      <c r="Y1148">
        <v>0</v>
      </c>
      <c r="Z1148" s="5">
        <v>250</v>
      </c>
      <c r="AA1148" s="3">
        <v>224</v>
      </c>
      <c r="AB1148" s="5">
        <v>56000</v>
      </c>
      <c r="AC1148">
        <v>250</v>
      </c>
      <c r="AD1148">
        <v>224</v>
      </c>
      <c r="AE1148" s="1">
        <v>56000</v>
      </c>
      <c r="AF1148">
        <v>0</v>
      </c>
      <c r="AJ1148">
        <v>0</v>
      </c>
      <c r="AK1148">
        <v>0</v>
      </c>
      <c r="AL1148">
        <v>0</v>
      </c>
      <c r="AM1148">
        <v>0</v>
      </c>
      <c r="AN1148">
        <v>0</v>
      </c>
      <c r="AO1148">
        <v>0</v>
      </c>
      <c r="AP1148" s="2">
        <v>42831</v>
      </c>
      <c r="AQ1148" t="s">
        <v>72</v>
      </c>
      <c r="AR1148" t="s">
        <v>72</v>
      </c>
      <c r="AS1148">
        <v>427</v>
      </c>
      <c r="AT1148" s="4">
        <v>42780</v>
      </c>
      <c r="AU1148" t="s">
        <v>73</v>
      </c>
      <c r="AV1148">
        <v>427</v>
      </c>
      <c r="AW1148" s="4">
        <v>42780</v>
      </c>
      <c r="BD1148">
        <v>0</v>
      </c>
      <c r="BN1148" t="s">
        <v>74</v>
      </c>
    </row>
    <row r="1149" spans="1:66">
      <c r="A1149">
        <v>101541</v>
      </c>
      <c r="B1149" t="s">
        <v>292</v>
      </c>
      <c r="C1149" s="1">
        <v>43300101</v>
      </c>
      <c r="D1149" t="s">
        <v>67</v>
      </c>
      <c r="H1149" t="str">
        <f t="shared" si="149"/>
        <v>08230471008</v>
      </c>
      <c r="I1149" t="str">
        <f t="shared" si="149"/>
        <v>08230471008</v>
      </c>
      <c r="K1149" t="str">
        <f>""</f>
        <v/>
      </c>
      <c r="M1149" t="s">
        <v>68</v>
      </c>
      <c r="N1149" t="str">
        <f t="shared" si="150"/>
        <v>FOR</v>
      </c>
      <c r="O1149" t="s">
        <v>69</v>
      </c>
      <c r="P1149" t="s">
        <v>75</v>
      </c>
      <c r="Q1149">
        <v>2016</v>
      </c>
      <c r="R1149" s="4">
        <v>42490</v>
      </c>
      <c r="S1149" s="2">
        <v>42496</v>
      </c>
      <c r="T1149" s="2">
        <v>42496</v>
      </c>
      <c r="U1149" s="4">
        <v>42556</v>
      </c>
      <c r="V1149" t="s">
        <v>71</v>
      </c>
      <c r="W1149" t="str">
        <f>"               53798"</f>
        <v xml:space="preserve">               53798</v>
      </c>
      <c r="X1149">
        <v>305</v>
      </c>
      <c r="Y1149">
        <v>0</v>
      </c>
      <c r="Z1149" s="5">
        <v>250</v>
      </c>
      <c r="AA1149" s="3">
        <v>224</v>
      </c>
      <c r="AB1149" s="5">
        <v>56000</v>
      </c>
      <c r="AC1149">
        <v>250</v>
      </c>
      <c r="AD1149">
        <v>224</v>
      </c>
      <c r="AE1149" s="1">
        <v>56000</v>
      </c>
      <c r="AF1149">
        <v>0</v>
      </c>
      <c r="AJ1149">
        <v>0</v>
      </c>
      <c r="AK1149">
        <v>0</v>
      </c>
      <c r="AL1149">
        <v>0</v>
      </c>
      <c r="AM1149">
        <v>0</v>
      </c>
      <c r="AN1149">
        <v>0</v>
      </c>
      <c r="AO1149">
        <v>0</v>
      </c>
      <c r="AP1149" s="2">
        <v>42831</v>
      </c>
      <c r="AQ1149" t="s">
        <v>72</v>
      </c>
      <c r="AR1149" t="s">
        <v>72</v>
      </c>
      <c r="AS1149">
        <v>427</v>
      </c>
      <c r="AT1149" s="4">
        <v>42780</v>
      </c>
      <c r="AU1149" t="s">
        <v>73</v>
      </c>
      <c r="AV1149">
        <v>427</v>
      </c>
      <c r="AW1149" s="4">
        <v>42780</v>
      </c>
      <c r="BD1149">
        <v>0</v>
      </c>
      <c r="BN1149" t="s">
        <v>74</v>
      </c>
    </row>
    <row r="1150" spans="1:66">
      <c r="A1150">
        <v>101541</v>
      </c>
      <c r="B1150" t="s">
        <v>292</v>
      </c>
      <c r="C1150" s="1">
        <v>43300101</v>
      </c>
      <c r="D1150" t="s">
        <v>67</v>
      </c>
      <c r="H1150" t="str">
        <f t="shared" si="149"/>
        <v>08230471008</v>
      </c>
      <c r="I1150" t="str">
        <f t="shared" si="149"/>
        <v>08230471008</v>
      </c>
      <c r="K1150" t="str">
        <f>""</f>
        <v/>
      </c>
      <c r="M1150" t="s">
        <v>68</v>
      </c>
      <c r="N1150" t="str">
        <f t="shared" si="150"/>
        <v>FOR</v>
      </c>
      <c r="O1150" t="s">
        <v>69</v>
      </c>
      <c r="P1150" t="s">
        <v>75</v>
      </c>
      <c r="Q1150">
        <v>2016</v>
      </c>
      <c r="R1150" s="4">
        <v>42490</v>
      </c>
      <c r="S1150" s="2">
        <v>42496</v>
      </c>
      <c r="T1150" s="2">
        <v>42496</v>
      </c>
      <c r="U1150" s="4">
        <v>42556</v>
      </c>
      <c r="V1150" t="s">
        <v>71</v>
      </c>
      <c r="W1150" t="str">
        <f>"               53799"</f>
        <v xml:space="preserve">               53799</v>
      </c>
      <c r="X1150">
        <v>305</v>
      </c>
      <c r="Y1150">
        <v>0</v>
      </c>
      <c r="Z1150" s="5">
        <v>250</v>
      </c>
      <c r="AA1150" s="3">
        <v>224</v>
      </c>
      <c r="AB1150" s="5">
        <v>56000</v>
      </c>
      <c r="AC1150">
        <v>250</v>
      </c>
      <c r="AD1150">
        <v>224</v>
      </c>
      <c r="AE1150" s="1">
        <v>56000</v>
      </c>
      <c r="AF1150">
        <v>0</v>
      </c>
      <c r="AJ1150">
        <v>0</v>
      </c>
      <c r="AK1150">
        <v>0</v>
      </c>
      <c r="AL1150">
        <v>0</v>
      </c>
      <c r="AM1150">
        <v>0</v>
      </c>
      <c r="AN1150">
        <v>0</v>
      </c>
      <c r="AO1150">
        <v>0</v>
      </c>
      <c r="AP1150" s="2">
        <v>42831</v>
      </c>
      <c r="AQ1150" t="s">
        <v>72</v>
      </c>
      <c r="AR1150" t="s">
        <v>72</v>
      </c>
      <c r="AS1150">
        <v>427</v>
      </c>
      <c r="AT1150" s="4">
        <v>42780</v>
      </c>
      <c r="AU1150" t="s">
        <v>73</v>
      </c>
      <c r="AV1150">
        <v>427</v>
      </c>
      <c r="AW1150" s="4">
        <v>42780</v>
      </c>
      <c r="BD1150">
        <v>0</v>
      </c>
      <c r="BN1150" t="s">
        <v>74</v>
      </c>
    </row>
    <row r="1151" spans="1:66">
      <c r="A1151">
        <v>101541</v>
      </c>
      <c r="B1151" t="s">
        <v>292</v>
      </c>
      <c r="C1151" s="1">
        <v>43300101</v>
      </c>
      <c r="D1151" t="s">
        <v>67</v>
      </c>
      <c r="H1151" t="str">
        <f t="shared" si="149"/>
        <v>08230471008</v>
      </c>
      <c r="I1151" t="str">
        <f t="shared" si="149"/>
        <v>08230471008</v>
      </c>
      <c r="K1151" t="str">
        <f>""</f>
        <v/>
      </c>
      <c r="M1151" t="s">
        <v>68</v>
      </c>
      <c r="N1151" t="str">
        <f t="shared" si="150"/>
        <v>FOR</v>
      </c>
      <c r="O1151" t="s">
        <v>69</v>
      </c>
      <c r="P1151" t="s">
        <v>75</v>
      </c>
      <c r="Q1151">
        <v>2016</v>
      </c>
      <c r="R1151" s="4">
        <v>42490</v>
      </c>
      <c r="S1151" s="2">
        <v>42496</v>
      </c>
      <c r="T1151" s="2">
        <v>42496</v>
      </c>
      <c r="U1151" s="4">
        <v>42556</v>
      </c>
      <c r="V1151" t="s">
        <v>71</v>
      </c>
      <c r="W1151" t="str">
        <f>"               53800"</f>
        <v xml:space="preserve">               53800</v>
      </c>
      <c r="X1151">
        <v>305</v>
      </c>
      <c r="Y1151">
        <v>0</v>
      </c>
      <c r="Z1151" s="5">
        <v>250</v>
      </c>
      <c r="AA1151" s="3">
        <v>224</v>
      </c>
      <c r="AB1151" s="5">
        <v>56000</v>
      </c>
      <c r="AC1151">
        <v>250</v>
      </c>
      <c r="AD1151">
        <v>224</v>
      </c>
      <c r="AE1151" s="1">
        <v>56000</v>
      </c>
      <c r="AF1151">
        <v>0</v>
      </c>
      <c r="AJ1151">
        <v>0</v>
      </c>
      <c r="AK1151">
        <v>0</v>
      </c>
      <c r="AL1151">
        <v>0</v>
      </c>
      <c r="AM1151">
        <v>0</v>
      </c>
      <c r="AN1151">
        <v>0</v>
      </c>
      <c r="AO1151">
        <v>0</v>
      </c>
      <c r="AP1151" s="2">
        <v>42831</v>
      </c>
      <c r="AQ1151" t="s">
        <v>72</v>
      </c>
      <c r="AR1151" t="s">
        <v>72</v>
      </c>
      <c r="AS1151">
        <v>427</v>
      </c>
      <c r="AT1151" s="4">
        <v>42780</v>
      </c>
      <c r="AU1151" t="s">
        <v>73</v>
      </c>
      <c r="AV1151">
        <v>427</v>
      </c>
      <c r="AW1151" s="4">
        <v>42780</v>
      </c>
      <c r="BD1151">
        <v>0</v>
      </c>
      <c r="BN1151" t="s">
        <v>74</v>
      </c>
    </row>
    <row r="1152" spans="1:66">
      <c r="A1152">
        <v>101541</v>
      </c>
      <c r="B1152" t="s">
        <v>292</v>
      </c>
      <c r="C1152" s="1">
        <v>43300101</v>
      </c>
      <c r="D1152" t="s">
        <v>67</v>
      </c>
      <c r="H1152" t="str">
        <f t="shared" si="149"/>
        <v>08230471008</v>
      </c>
      <c r="I1152" t="str">
        <f t="shared" si="149"/>
        <v>08230471008</v>
      </c>
      <c r="K1152" t="str">
        <f>""</f>
        <v/>
      </c>
      <c r="M1152" t="s">
        <v>68</v>
      </c>
      <c r="N1152" t="str">
        <f t="shared" si="150"/>
        <v>FOR</v>
      </c>
      <c r="O1152" t="s">
        <v>69</v>
      </c>
      <c r="P1152" t="s">
        <v>75</v>
      </c>
      <c r="Q1152">
        <v>2016</v>
      </c>
      <c r="R1152" s="4">
        <v>42490</v>
      </c>
      <c r="S1152" s="2">
        <v>42496</v>
      </c>
      <c r="T1152" s="2">
        <v>42496</v>
      </c>
      <c r="U1152" s="4">
        <v>42556</v>
      </c>
      <c r="V1152" t="s">
        <v>71</v>
      </c>
      <c r="W1152" t="str">
        <f>"               53801"</f>
        <v xml:space="preserve">               53801</v>
      </c>
      <c r="X1152">
        <v>305</v>
      </c>
      <c r="Y1152">
        <v>0</v>
      </c>
      <c r="Z1152" s="5">
        <v>250</v>
      </c>
      <c r="AA1152" s="3">
        <v>224</v>
      </c>
      <c r="AB1152" s="5">
        <v>56000</v>
      </c>
      <c r="AC1152">
        <v>250</v>
      </c>
      <c r="AD1152">
        <v>224</v>
      </c>
      <c r="AE1152" s="1">
        <v>56000</v>
      </c>
      <c r="AF1152">
        <v>0</v>
      </c>
      <c r="AJ1152">
        <v>0</v>
      </c>
      <c r="AK1152">
        <v>0</v>
      </c>
      <c r="AL1152">
        <v>0</v>
      </c>
      <c r="AM1152">
        <v>0</v>
      </c>
      <c r="AN1152">
        <v>0</v>
      </c>
      <c r="AO1152">
        <v>0</v>
      </c>
      <c r="AP1152" s="2">
        <v>42831</v>
      </c>
      <c r="AQ1152" t="s">
        <v>72</v>
      </c>
      <c r="AR1152" t="s">
        <v>72</v>
      </c>
      <c r="AS1152">
        <v>427</v>
      </c>
      <c r="AT1152" s="4">
        <v>42780</v>
      </c>
      <c r="AU1152" t="s">
        <v>73</v>
      </c>
      <c r="AV1152">
        <v>427</v>
      </c>
      <c r="AW1152" s="4">
        <v>42780</v>
      </c>
      <c r="BD1152">
        <v>0</v>
      </c>
      <c r="BN1152" t="s">
        <v>74</v>
      </c>
    </row>
    <row r="1153" spans="1:66">
      <c r="A1153">
        <v>101541</v>
      </c>
      <c r="B1153" t="s">
        <v>292</v>
      </c>
      <c r="C1153" s="1">
        <v>43300101</v>
      </c>
      <c r="D1153" t="s">
        <v>67</v>
      </c>
      <c r="H1153" t="str">
        <f t="shared" si="149"/>
        <v>08230471008</v>
      </c>
      <c r="I1153" t="str">
        <f t="shared" si="149"/>
        <v>08230471008</v>
      </c>
      <c r="K1153" t="str">
        <f>""</f>
        <v/>
      </c>
      <c r="M1153" t="s">
        <v>68</v>
      </c>
      <c r="N1153" t="str">
        <f t="shared" si="150"/>
        <v>FOR</v>
      </c>
      <c r="O1153" t="s">
        <v>69</v>
      </c>
      <c r="P1153" t="s">
        <v>75</v>
      </c>
      <c r="Q1153">
        <v>2016</v>
      </c>
      <c r="R1153" s="4">
        <v>42490</v>
      </c>
      <c r="S1153" s="2">
        <v>42496</v>
      </c>
      <c r="T1153" s="2">
        <v>42496</v>
      </c>
      <c r="U1153" s="4">
        <v>42556</v>
      </c>
      <c r="V1153" t="s">
        <v>71</v>
      </c>
      <c r="W1153" t="str">
        <f>"               53802"</f>
        <v xml:space="preserve">               53802</v>
      </c>
      <c r="X1153">
        <v>305</v>
      </c>
      <c r="Y1153">
        <v>0</v>
      </c>
      <c r="Z1153" s="5">
        <v>250</v>
      </c>
      <c r="AA1153" s="3">
        <v>224</v>
      </c>
      <c r="AB1153" s="5">
        <v>56000</v>
      </c>
      <c r="AC1153">
        <v>250</v>
      </c>
      <c r="AD1153">
        <v>224</v>
      </c>
      <c r="AE1153" s="1">
        <v>56000</v>
      </c>
      <c r="AF1153">
        <v>0</v>
      </c>
      <c r="AJ1153">
        <v>0</v>
      </c>
      <c r="AK1153">
        <v>0</v>
      </c>
      <c r="AL1153">
        <v>0</v>
      </c>
      <c r="AM1153">
        <v>0</v>
      </c>
      <c r="AN1153">
        <v>0</v>
      </c>
      <c r="AO1153">
        <v>0</v>
      </c>
      <c r="AP1153" s="2">
        <v>42831</v>
      </c>
      <c r="AQ1153" t="s">
        <v>72</v>
      </c>
      <c r="AR1153" t="s">
        <v>72</v>
      </c>
      <c r="AS1153">
        <v>427</v>
      </c>
      <c r="AT1153" s="4">
        <v>42780</v>
      </c>
      <c r="AU1153" t="s">
        <v>73</v>
      </c>
      <c r="AV1153">
        <v>427</v>
      </c>
      <c r="AW1153" s="4">
        <v>42780</v>
      </c>
      <c r="BD1153">
        <v>0</v>
      </c>
      <c r="BN1153" t="s">
        <v>74</v>
      </c>
    </row>
    <row r="1154" spans="1:66">
      <c r="A1154">
        <v>101541</v>
      </c>
      <c r="B1154" t="s">
        <v>292</v>
      </c>
      <c r="C1154" s="1">
        <v>43300101</v>
      </c>
      <c r="D1154" t="s">
        <v>67</v>
      </c>
      <c r="H1154" t="str">
        <f t="shared" si="149"/>
        <v>08230471008</v>
      </c>
      <c r="I1154" t="str">
        <f t="shared" si="149"/>
        <v>08230471008</v>
      </c>
      <c r="K1154" t="str">
        <f>""</f>
        <v/>
      </c>
      <c r="M1154" t="s">
        <v>68</v>
      </c>
      <c r="N1154" t="str">
        <f t="shared" si="150"/>
        <v>FOR</v>
      </c>
      <c r="O1154" t="s">
        <v>69</v>
      </c>
      <c r="P1154" t="s">
        <v>75</v>
      </c>
      <c r="Q1154">
        <v>2016</v>
      </c>
      <c r="R1154" s="4">
        <v>42490</v>
      </c>
      <c r="S1154" s="2">
        <v>42496</v>
      </c>
      <c r="T1154" s="2">
        <v>42496</v>
      </c>
      <c r="U1154" s="4">
        <v>42556</v>
      </c>
      <c r="V1154" t="s">
        <v>71</v>
      </c>
      <c r="W1154" t="str">
        <f>"               53803"</f>
        <v xml:space="preserve">               53803</v>
      </c>
      <c r="X1154">
        <v>305</v>
      </c>
      <c r="Y1154">
        <v>0</v>
      </c>
      <c r="Z1154" s="5">
        <v>250</v>
      </c>
      <c r="AA1154" s="3">
        <v>224</v>
      </c>
      <c r="AB1154" s="5">
        <v>56000</v>
      </c>
      <c r="AC1154">
        <v>250</v>
      </c>
      <c r="AD1154">
        <v>224</v>
      </c>
      <c r="AE1154" s="1">
        <v>56000</v>
      </c>
      <c r="AF1154">
        <v>0</v>
      </c>
      <c r="AJ1154">
        <v>0</v>
      </c>
      <c r="AK1154">
        <v>0</v>
      </c>
      <c r="AL1154">
        <v>0</v>
      </c>
      <c r="AM1154">
        <v>0</v>
      </c>
      <c r="AN1154">
        <v>0</v>
      </c>
      <c r="AO1154">
        <v>0</v>
      </c>
      <c r="AP1154" s="2">
        <v>42831</v>
      </c>
      <c r="AQ1154" t="s">
        <v>72</v>
      </c>
      <c r="AR1154" t="s">
        <v>72</v>
      </c>
      <c r="AS1154">
        <v>427</v>
      </c>
      <c r="AT1154" s="4">
        <v>42780</v>
      </c>
      <c r="AU1154" t="s">
        <v>73</v>
      </c>
      <c r="AV1154">
        <v>427</v>
      </c>
      <c r="AW1154" s="4">
        <v>42780</v>
      </c>
      <c r="BD1154">
        <v>0</v>
      </c>
      <c r="BN1154" t="s">
        <v>74</v>
      </c>
    </row>
    <row r="1155" spans="1:66">
      <c r="A1155">
        <v>101541</v>
      </c>
      <c r="B1155" t="s">
        <v>292</v>
      </c>
      <c r="C1155" s="1">
        <v>43300101</v>
      </c>
      <c r="D1155" t="s">
        <v>67</v>
      </c>
      <c r="H1155" t="str">
        <f t="shared" si="149"/>
        <v>08230471008</v>
      </c>
      <c r="I1155" t="str">
        <f t="shared" si="149"/>
        <v>08230471008</v>
      </c>
      <c r="K1155" t="str">
        <f>""</f>
        <v/>
      </c>
      <c r="M1155" t="s">
        <v>68</v>
      </c>
      <c r="N1155" t="str">
        <f t="shared" si="150"/>
        <v>FOR</v>
      </c>
      <c r="O1155" t="s">
        <v>69</v>
      </c>
      <c r="P1155" t="s">
        <v>75</v>
      </c>
      <c r="Q1155">
        <v>2016</v>
      </c>
      <c r="R1155" s="4">
        <v>42490</v>
      </c>
      <c r="S1155" s="2">
        <v>42496</v>
      </c>
      <c r="T1155" s="2">
        <v>42496</v>
      </c>
      <c r="U1155" s="4">
        <v>42556</v>
      </c>
      <c r="V1155" t="s">
        <v>71</v>
      </c>
      <c r="W1155" t="str">
        <f>"               53804"</f>
        <v xml:space="preserve">               53804</v>
      </c>
      <c r="X1155">
        <v>305</v>
      </c>
      <c r="Y1155">
        <v>0</v>
      </c>
      <c r="Z1155" s="5">
        <v>250</v>
      </c>
      <c r="AA1155" s="3">
        <v>224</v>
      </c>
      <c r="AB1155" s="5">
        <v>56000</v>
      </c>
      <c r="AC1155">
        <v>250</v>
      </c>
      <c r="AD1155">
        <v>224</v>
      </c>
      <c r="AE1155" s="1">
        <v>56000</v>
      </c>
      <c r="AF1155">
        <v>0</v>
      </c>
      <c r="AJ1155">
        <v>0</v>
      </c>
      <c r="AK1155">
        <v>0</v>
      </c>
      <c r="AL1155">
        <v>0</v>
      </c>
      <c r="AM1155">
        <v>0</v>
      </c>
      <c r="AN1155">
        <v>0</v>
      </c>
      <c r="AO1155">
        <v>0</v>
      </c>
      <c r="AP1155" s="2">
        <v>42831</v>
      </c>
      <c r="AQ1155" t="s">
        <v>72</v>
      </c>
      <c r="AR1155" t="s">
        <v>72</v>
      </c>
      <c r="AS1155">
        <v>427</v>
      </c>
      <c r="AT1155" s="4">
        <v>42780</v>
      </c>
      <c r="AU1155" t="s">
        <v>73</v>
      </c>
      <c r="AV1155">
        <v>427</v>
      </c>
      <c r="AW1155" s="4">
        <v>42780</v>
      </c>
      <c r="BD1155">
        <v>0</v>
      </c>
      <c r="BN1155" t="s">
        <v>74</v>
      </c>
    </row>
    <row r="1156" spans="1:66">
      <c r="A1156">
        <v>101541</v>
      </c>
      <c r="B1156" t="s">
        <v>292</v>
      </c>
      <c r="C1156" s="1">
        <v>43300101</v>
      </c>
      <c r="D1156" t="s">
        <v>67</v>
      </c>
      <c r="H1156" t="str">
        <f t="shared" ref="H1156:I1175" si="151">"08230471008"</f>
        <v>08230471008</v>
      </c>
      <c r="I1156" t="str">
        <f t="shared" si="151"/>
        <v>08230471008</v>
      </c>
      <c r="K1156" t="str">
        <f>""</f>
        <v/>
      </c>
      <c r="M1156" t="s">
        <v>68</v>
      </c>
      <c r="N1156" t="str">
        <f t="shared" si="150"/>
        <v>FOR</v>
      </c>
      <c r="O1156" t="s">
        <v>69</v>
      </c>
      <c r="P1156" t="s">
        <v>75</v>
      </c>
      <c r="Q1156">
        <v>2016</v>
      </c>
      <c r="R1156" s="4">
        <v>42490</v>
      </c>
      <c r="S1156" s="2">
        <v>42496</v>
      </c>
      <c r="T1156" s="2">
        <v>42496</v>
      </c>
      <c r="U1156" s="4">
        <v>42556</v>
      </c>
      <c r="V1156" t="s">
        <v>71</v>
      </c>
      <c r="W1156" t="str">
        <f>"               53805"</f>
        <v xml:space="preserve">               53805</v>
      </c>
      <c r="X1156">
        <v>305</v>
      </c>
      <c r="Y1156">
        <v>0</v>
      </c>
      <c r="Z1156" s="5">
        <v>250</v>
      </c>
      <c r="AA1156" s="3">
        <v>224</v>
      </c>
      <c r="AB1156" s="5">
        <v>56000</v>
      </c>
      <c r="AC1156">
        <v>250</v>
      </c>
      <c r="AD1156">
        <v>224</v>
      </c>
      <c r="AE1156" s="1">
        <v>56000</v>
      </c>
      <c r="AF1156">
        <v>0</v>
      </c>
      <c r="AJ1156">
        <v>0</v>
      </c>
      <c r="AK1156">
        <v>0</v>
      </c>
      <c r="AL1156">
        <v>0</v>
      </c>
      <c r="AM1156">
        <v>0</v>
      </c>
      <c r="AN1156">
        <v>0</v>
      </c>
      <c r="AO1156">
        <v>0</v>
      </c>
      <c r="AP1156" s="2">
        <v>42831</v>
      </c>
      <c r="AQ1156" t="s">
        <v>72</v>
      </c>
      <c r="AR1156" t="s">
        <v>72</v>
      </c>
      <c r="AS1156">
        <v>427</v>
      </c>
      <c r="AT1156" s="4">
        <v>42780</v>
      </c>
      <c r="AU1156" t="s">
        <v>73</v>
      </c>
      <c r="AV1156">
        <v>427</v>
      </c>
      <c r="AW1156" s="4">
        <v>42780</v>
      </c>
      <c r="BD1156">
        <v>0</v>
      </c>
      <c r="BN1156" t="s">
        <v>74</v>
      </c>
    </row>
    <row r="1157" spans="1:66">
      <c r="A1157">
        <v>101541</v>
      </c>
      <c r="B1157" t="s">
        <v>292</v>
      </c>
      <c r="C1157" s="1">
        <v>43300101</v>
      </c>
      <c r="D1157" t="s">
        <v>67</v>
      </c>
      <c r="H1157" t="str">
        <f t="shared" si="151"/>
        <v>08230471008</v>
      </c>
      <c r="I1157" t="str">
        <f t="shared" si="151"/>
        <v>08230471008</v>
      </c>
      <c r="K1157" t="str">
        <f>""</f>
        <v/>
      </c>
      <c r="M1157" t="s">
        <v>68</v>
      </c>
      <c r="N1157" t="str">
        <f t="shared" si="150"/>
        <v>FOR</v>
      </c>
      <c r="O1157" t="s">
        <v>69</v>
      </c>
      <c r="P1157" t="s">
        <v>75</v>
      </c>
      <c r="Q1157">
        <v>2016</v>
      </c>
      <c r="R1157" s="4">
        <v>42503</v>
      </c>
      <c r="S1157" s="2">
        <v>42515</v>
      </c>
      <c r="T1157" s="2">
        <v>42510</v>
      </c>
      <c r="U1157" s="4">
        <v>42570</v>
      </c>
      <c r="V1157" t="s">
        <v>71</v>
      </c>
      <c r="W1157" t="str">
        <f>"               54834"</f>
        <v xml:space="preserve">               54834</v>
      </c>
      <c r="X1157" s="1">
        <v>2379</v>
      </c>
      <c r="Y1157">
        <v>0</v>
      </c>
      <c r="Z1157" s="5">
        <v>1950</v>
      </c>
      <c r="AA1157" s="3">
        <v>227</v>
      </c>
      <c r="AB1157" s="5">
        <v>442650</v>
      </c>
      <c r="AC1157" s="1">
        <v>1950</v>
      </c>
      <c r="AD1157">
        <v>227</v>
      </c>
      <c r="AE1157" s="1">
        <v>442650</v>
      </c>
      <c r="AF1157">
        <v>429</v>
      </c>
      <c r="AJ1157">
        <v>0</v>
      </c>
      <c r="AK1157">
        <v>0</v>
      </c>
      <c r="AL1157">
        <v>0</v>
      </c>
      <c r="AM1157">
        <v>0</v>
      </c>
      <c r="AN1157">
        <v>0</v>
      </c>
      <c r="AO1157">
        <v>0</v>
      </c>
      <c r="AP1157" s="2">
        <v>42831</v>
      </c>
      <c r="AQ1157" t="s">
        <v>72</v>
      </c>
      <c r="AR1157" t="s">
        <v>72</v>
      </c>
      <c r="AS1157">
        <v>714</v>
      </c>
      <c r="AT1157" s="4">
        <v>42797</v>
      </c>
      <c r="AU1157" t="s">
        <v>73</v>
      </c>
      <c r="AV1157">
        <v>714</v>
      </c>
      <c r="AW1157" s="4">
        <v>42797</v>
      </c>
      <c r="BD1157">
        <v>429</v>
      </c>
      <c r="BN1157" t="s">
        <v>74</v>
      </c>
    </row>
    <row r="1158" spans="1:66">
      <c r="A1158">
        <v>101541</v>
      </c>
      <c r="B1158" t="s">
        <v>292</v>
      </c>
      <c r="C1158" s="1">
        <v>43300101</v>
      </c>
      <c r="D1158" t="s">
        <v>67</v>
      </c>
      <c r="H1158" t="str">
        <f t="shared" si="151"/>
        <v>08230471008</v>
      </c>
      <c r="I1158" t="str">
        <f t="shared" si="151"/>
        <v>08230471008</v>
      </c>
      <c r="K1158" t="str">
        <f>""</f>
        <v/>
      </c>
      <c r="M1158" t="s">
        <v>68</v>
      </c>
      <c r="N1158" t="str">
        <f t="shared" si="150"/>
        <v>FOR</v>
      </c>
      <c r="O1158" t="s">
        <v>69</v>
      </c>
      <c r="P1158" t="s">
        <v>75</v>
      </c>
      <c r="Q1158">
        <v>2016</v>
      </c>
      <c r="R1158" s="4">
        <v>42503</v>
      </c>
      <c r="S1158" s="2">
        <v>42515</v>
      </c>
      <c r="T1158" s="2">
        <v>42510</v>
      </c>
      <c r="U1158" s="4">
        <v>42570</v>
      </c>
      <c r="V1158" t="s">
        <v>71</v>
      </c>
      <c r="W1158" t="str">
        <f>"               54835"</f>
        <v xml:space="preserve">               54835</v>
      </c>
      <c r="X1158">
        <v>305</v>
      </c>
      <c r="Y1158">
        <v>0</v>
      </c>
      <c r="Z1158" s="5">
        <v>250</v>
      </c>
      <c r="AA1158" s="3">
        <v>227</v>
      </c>
      <c r="AB1158" s="5">
        <v>56750</v>
      </c>
      <c r="AC1158">
        <v>250</v>
      </c>
      <c r="AD1158">
        <v>227</v>
      </c>
      <c r="AE1158" s="1">
        <v>56750</v>
      </c>
      <c r="AF1158">
        <v>55</v>
      </c>
      <c r="AJ1158">
        <v>0</v>
      </c>
      <c r="AK1158">
        <v>0</v>
      </c>
      <c r="AL1158">
        <v>0</v>
      </c>
      <c r="AM1158">
        <v>0</v>
      </c>
      <c r="AN1158">
        <v>0</v>
      </c>
      <c r="AO1158">
        <v>0</v>
      </c>
      <c r="AP1158" s="2">
        <v>42831</v>
      </c>
      <c r="AQ1158" t="s">
        <v>72</v>
      </c>
      <c r="AR1158" t="s">
        <v>72</v>
      </c>
      <c r="AS1158">
        <v>714</v>
      </c>
      <c r="AT1158" s="4">
        <v>42797</v>
      </c>
      <c r="AU1158" t="s">
        <v>73</v>
      </c>
      <c r="AV1158">
        <v>714</v>
      </c>
      <c r="AW1158" s="4">
        <v>42797</v>
      </c>
      <c r="BD1158">
        <v>55</v>
      </c>
      <c r="BN1158" t="s">
        <v>74</v>
      </c>
    </row>
    <row r="1159" spans="1:66">
      <c r="A1159">
        <v>101541</v>
      </c>
      <c r="B1159" t="s">
        <v>292</v>
      </c>
      <c r="C1159" s="1">
        <v>43300101</v>
      </c>
      <c r="D1159" t="s">
        <v>67</v>
      </c>
      <c r="H1159" t="str">
        <f t="shared" si="151"/>
        <v>08230471008</v>
      </c>
      <c r="I1159" t="str">
        <f t="shared" si="151"/>
        <v>08230471008</v>
      </c>
      <c r="K1159" t="str">
        <f>""</f>
        <v/>
      </c>
      <c r="M1159" t="s">
        <v>68</v>
      </c>
      <c r="N1159" t="str">
        <f t="shared" si="150"/>
        <v>FOR</v>
      </c>
      <c r="O1159" t="s">
        <v>69</v>
      </c>
      <c r="P1159" t="s">
        <v>75</v>
      </c>
      <c r="Q1159">
        <v>2016</v>
      </c>
      <c r="R1159" s="4">
        <v>42503</v>
      </c>
      <c r="S1159" s="2">
        <v>42515</v>
      </c>
      <c r="T1159" s="2">
        <v>42510</v>
      </c>
      <c r="U1159" s="4">
        <v>42570</v>
      </c>
      <c r="V1159" t="s">
        <v>71</v>
      </c>
      <c r="W1159" t="str">
        <f>"               54836"</f>
        <v xml:space="preserve">               54836</v>
      </c>
      <c r="X1159">
        <v>305</v>
      </c>
      <c r="Y1159">
        <v>0</v>
      </c>
      <c r="Z1159" s="5">
        <v>250</v>
      </c>
      <c r="AA1159" s="3">
        <v>227</v>
      </c>
      <c r="AB1159" s="5">
        <v>56750</v>
      </c>
      <c r="AC1159">
        <v>250</v>
      </c>
      <c r="AD1159">
        <v>227</v>
      </c>
      <c r="AE1159" s="1">
        <v>56750</v>
      </c>
      <c r="AF1159">
        <v>55</v>
      </c>
      <c r="AJ1159">
        <v>0</v>
      </c>
      <c r="AK1159">
        <v>0</v>
      </c>
      <c r="AL1159">
        <v>0</v>
      </c>
      <c r="AM1159">
        <v>0</v>
      </c>
      <c r="AN1159">
        <v>0</v>
      </c>
      <c r="AO1159">
        <v>0</v>
      </c>
      <c r="AP1159" s="2">
        <v>42831</v>
      </c>
      <c r="AQ1159" t="s">
        <v>72</v>
      </c>
      <c r="AR1159" t="s">
        <v>72</v>
      </c>
      <c r="AS1159">
        <v>714</v>
      </c>
      <c r="AT1159" s="4">
        <v>42797</v>
      </c>
      <c r="AU1159" t="s">
        <v>73</v>
      </c>
      <c r="AV1159">
        <v>714</v>
      </c>
      <c r="AW1159" s="4">
        <v>42797</v>
      </c>
      <c r="BD1159">
        <v>55</v>
      </c>
      <c r="BN1159" t="s">
        <v>74</v>
      </c>
    </row>
    <row r="1160" spans="1:66">
      <c r="A1160">
        <v>101541</v>
      </c>
      <c r="B1160" t="s">
        <v>292</v>
      </c>
      <c r="C1160" s="1">
        <v>43300101</v>
      </c>
      <c r="D1160" t="s">
        <v>67</v>
      </c>
      <c r="H1160" t="str">
        <f t="shared" si="151"/>
        <v>08230471008</v>
      </c>
      <c r="I1160" t="str">
        <f t="shared" si="151"/>
        <v>08230471008</v>
      </c>
      <c r="K1160" t="str">
        <f>""</f>
        <v/>
      </c>
      <c r="M1160" t="s">
        <v>68</v>
      </c>
      <c r="N1160" t="str">
        <f t="shared" si="150"/>
        <v>FOR</v>
      </c>
      <c r="O1160" t="s">
        <v>69</v>
      </c>
      <c r="P1160" t="s">
        <v>75</v>
      </c>
      <c r="Q1160">
        <v>2016</v>
      </c>
      <c r="R1160" s="4">
        <v>42503</v>
      </c>
      <c r="S1160" s="2">
        <v>42515</v>
      </c>
      <c r="T1160" s="2">
        <v>42510</v>
      </c>
      <c r="U1160" s="4">
        <v>42570</v>
      </c>
      <c r="V1160" t="s">
        <v>71</v>
      </c>
      <c r="W1160" t="str">
        <f>"               54837"</f>
        <v xml:space="preserve">               54837</v>
      </c>
      <c r="X1160">
        <v>305</v>
      </c>
      <c r="Y1160">
        <v>0</v>
      </c>
      <c r="Z1160" s="5">
        <v>250</v>
      </c>
      <c r="AA1160" s="3">
        <v>227</v>
      </c>
      <c r="AB1160" s="5">
        <v>56750</v>
      </c>
      <c r="AC1160">
        <v>250</v>
      </c>
      <c r="AD1160">
        <v>227</v>
      </c>
      <c r="AE1160" s="1">
        <v>56750</v>
      </c>
      <c r="AF1160">
        <v>55</v>
      </c>
      <c r="AJ1160">
        <v>0</v>
      </c>
      <c r="AK1160">
        <v>0</v>
      </c>
      <c r="AL1160">
        <v>0</v>
      </c>
      <c r="AM1160">
        <v>0</v>
      </c>
      <c r="AN1160">
        <v>0</v>
      </c>
      <c r="AO1160">
        <v>0</v>
      </c>
      <c r="AP1160" s="2">
        <v>42831</v>
      </c>
      <c r="AQ1160" t="s">
        <v>72</v>
      </c>
      <c r="AR1160" t="s">
        <v>72</v>
      </c>
      <c r="AS1160">
        <v>714</v>
      </c>
      <c r="AT1160" s="4">
        <v>42797</v>
      </c>
      <c r="AU1160" t="s">
        <v>73</v>
      </c>
      <c r="AV1160">
        <v>714</v>
      </c>
      <c r="AW1160" s="4">
        <v>42797</v>
      </c>
      <c r="BD1160">
        <v>55</v>
      </c>
      <c r="BN1160" t="s">
        <v>74</v>
      </c>
    </row>
    <row r="1161" spans="1:66">
      <c r="A1161">
        <v>101541</v>
      </c>
      <c r="B1161" t="s">
        <v>292</v>
      </c>
      <c r="C1161" s="1">
        <v>43300101</v>
      </c>
      <c r="D1161" t="s">
        <v>67</v>
      </c>
      <c r="H1161" t="str">
        <f t="shared" si="151"/>
        <v>08230471008</v>
      </c>
      <c r="I1161" t="str">
        <f t="shared" si="151"/>
        <v>08230471008</v>
      </c>
      <c r="K1161" t="str">
        <f>""</f>
        <v/>
      </c>
      <c r="M1161" t="s">
        <v>68</v>
      </c>
      <c r="N1161" t="str">
        <f t="shared" si="150"/>
        <v>FOR</v>
      </c>
      <c r="O1161" t="s">
        <v>69</v>
      </c>
      <c r="P1161" t="s">
        <v>75</v>
      </c>
      <c r="Q1161">
        <v>2016</v>
      </c>
      <c r="R1161" s="4">
        <v>42503</v>
      </c>
      <c r="S1161" s="2">
        <v>42515</v>
      </c>
      <c r="T1161" s="2">
        <v>42510</v>
      </c>
      <c r="U1161" s="4">
        <v>42570</v>
      </c>
      <c r="V1161" t="s">
        <v>71</v>
      </c>
      <c r="W1161" t="str">
        <f>"               54838"</f>
        <v xml:space="preserve">               54838</v>
      </c>
      <c r="X1161">
        <v>305</v>
      </c>
      <c r="Y1161">
        <v>0</v>
      </c>
      <c r="Z1161" s="5">
        <v>250</v>
      </c>
      <c r="AA1161" s="3">
        <v>227</v>
      </c>
      <c r="AB1161" s="5">
        <v>56750</v>
      </c>
      <c r="AC1161">
        <v>250</v>
      </c>
      <c r="AD1161">
        <v>227</v>
      </c>
      <c r="AE1161" s="1">
        <v>56750</v>
      </c>
      <c r="AF1161">
        <v>55</v>
      </c>
      <c r="AJ1161">
        <v>0</v>
      </c>
      <c r="AK1161">
        <v>0</v>
      </c>
      <c r="AL1161">
        <v>0</v>
      </c>
      <c r="AM1161">
        <v>0</v>
      </c>
      <c r="AN1161">
        <v>0</v>
      </c>
      <c r="AO1161">
        <v>0</v>
      </c>
      <c r="AP1161" s="2">
        <v>42831</v>
      </c>
      <c r="AQ1161" t="s">
        <v>72</v>
      </c>
      <c r="AR1161" t="s">
        <v>72</v>
      </c>
      <c r="AS1161">
        <v>714</v>
      </c>
      <c r="AT1161" s="4">
        <v>42797</v>
      </c>
      <c r="AU1161" t="s">
        <v>73</v>
      </c>
      <c r="AV1161">
        <v>714</v>
      </c>
      <c r="AW1161" s="4">
        <v>42797</v>
      </c>
      <c r="BD1161">
        <v>55</v>
      </c>
      <c r="BN1161" t="s">
        <v>74</v>
      </c>
    </row>
    <row r="1162" spans="1:66">
      <c r="A1162">
        <v>101541</v>
      </c>
      <c r="B1162" t="s">
        <v>292</v>
      </c>
      <c r="C1162" s="1">
        <v>43300101</v>
      </c>
      <c r="D1162" t="s">
        <v>67</v>
      </c>
      <c r="H1162" t="str">
        <f t="shared" si="151"/>
        <v>08230471008</v>
      </c>
      <c r="I1162" t="str">
        <f t="shared" si="151"/>
        <v>08230471008</v>
      </c>
      <c r="K1162" t="str">
        <f>""</f>
        <v/>
      </c>
      <c r="M1162" t="s">
        <v>68</v>
      </c>
      <c r="N1162" t="str">
        <f t="shared" si="150"/>
        <v>FOR</v>
      </c>
      <c r="O1162" t="s">
        <v>69</v>
      </c>
      <c r="P1162" t="s">
        <v>75</v>
      </c>
      <c r="Q1162">
        <v>2016</v>
      </c>
      <c r="R1162" s="4">
        <v>42503</v>
      </c>
      <c r="S1162" s="2">
        <v>42515</v>
      </c>
      <c r="T1162" s="2">
        <v>42510</v>
      </c>
      <c r="U1162" s="4">
        <v>42570</v>
      </c>
      <c r="V1162" t="s">
        <v>71</v>
      </c>
      <c r="W1162" t="str">
        <f>"               54839"</f>
        <v xml:space="preserve">               54839</v>
      </c>
      <c r="X1162">
        <v>305</v>
      </c>
      <c r="Y1162">
        <v>0</v>
      </c>
      <c r="Z1162" s="5">
        <v>250</v>
      </c>
      <c r="AA1162" s="3">
        <v>227</v>
      </c>
      <c r="AB1162" s="5">
        <v>56750</v>
      </c>
      <c r="AC1162">
        <v>250</v>
      </c>
      <c r="AD1162">
        <v>227</v>
      </c>
      <c r="AE1162" s="1">
        <v>56750</v>
      </c>
      <c r="AF1162">
        <v>55</v>
      </c>
      <c r="AJ1162">
        <v>0</v>
      </c>
      <c r="AK1162">
        <v>0</v>
      </c>
      <c r="AL1162">
        <v>0</v>
      </c>
      <c r="AM1162">
        <v>0</v>
      </c>
      <c r="AN1162">
        <v>0</v>
      </c>
      <c r="AO1162">
        <v>0</v>
      </c>
      <c r="AP1162" s="2">
        <v>42831</v>
      </c>
      <c r="AQ1162" t="s">
        <v>72</v>
      </c>
      <c r="AR1162" t="s">
        <v>72</v>
      </c>
      <c r="AS1162">
        <v>714</v>
      </c>
      <c r="AT1162" s="4">
        <v>42797</v>
      </c>
      <c r="AU1162" t="s">
        <v>73</v>
      </c>
      <c r="AV1162">
        <v>714</v>
      </c>
      <c r="AW1162" s="4">
        <v>42797</v>
      </c>
      <c r="BD1162">
        <v>55</v>
      </c>
      <c r="BN1162" t="s">
        <v>74</v>
      </c>
    </row>
    <row r="1163" spans="1:66">
      <c r="A1163">
        <v>101541</v>
      </c>
      <c r="B1163" t="s">
        <v>292</v>
      </c>
      <c r="C1163" s="1">
        <v>43300101</v>
      </c>
      <c r="D1163" t="s">
        <v>67</v>
      </c>
      <c r="H1163" t="str">
        <f t="shared" si="151"/>
        <v>08230471008</v>
      </c>
      <c r="I1163" t="str">
        <f t="shared" si="151"/>
        <v>08230471008</v>
      </c>
      <c r="K1163" t="str">
        <f>""</f>
        <v/>
      </c>
      <c r="M1163" t="s">
        <v>68</v>
      </c>
      <c r="N1163" t="str">
        <f t="shared" si="150"/>
        <v>FOR</v>
      </c>
      <c r="O1163" t="s">
        <v>69</v>
      </c>
      <c r="P1163" t="s">
        <v>75</v>
      </c>
      <c r="Q1163">
        <v>2016</v>
      </c>
      <c r="R1163" s="4">
        <v>42503</v>
      </c>
      <c r="S1163" s="2">
        <v>42515</v>
      </c>
      <c r="T1163" s="2">
        <v>42510</v>
      </c>
      <c r="U1163" s="4">
        <v>42570</v>
      </c>
      <c r="V1163" t="s">
        <v>71</v>
      </c>
      <c r="W1163" t="str">
        <f>"               54840"</f>
        <v xml:space="preserve">               54840</v>
      </c>
      <c r="X1163">
        <v>305</v>
      </c>
      <c r="Y1163">
        <v>0</v>
      </c>
      <c r="Z1163" s="5">
        <v>250</v>
      </c>
      <c r="AA1163" s="3">
        <v>227</v>
      </c>
      <c r="AB1163" s="5">
        <v>56750</v>
      </c>
      <c r="AC1163">
        <v>250</v>
      </c>
      <c r="AD1163">
        <v>227</v>
      </c>
      <c r="AE1163" s="1">
        <v>56750</v>
      </c>
      <c r="AF1163">
        <v>55</v>
      </c>
      <c r="AJ1163">
        <v>0</v>
      </c>
      <c r="AK1163">
        <v>0</v>
      </c>
      <c r="AL1163">
        <v>0</v>
      </c>
      <c r="AM1163">
        <v>0</v>
      </c>
      <c r="AN1163">
        <v>0</v>
      </c>
      <c r="AO1163">
        <v>0</v>
      </c>
      <c r="AP1163" s="2">
        <v>42831</v>
      </c>
      <c r="AQ1163" t="s">
        <v>72</v>
      </c>
      <c r="AR1163" t="s">
        <v>72</v>
      </c>
      <c r="AS1163">
        <v>714</v>
      </c>
      <c r="AT1163" s="4">
        <v>42797</v>
      </c>
      <c r="AU1163" t="s">
        <v>73</v>
      </c>
      <c r="AV1163">
        <v>714</v>
      </c>
      <c r="AW1163" s="4">
        <v>42797</v>
      </c>
      <c r="BD1163">
        <v>55</v>
      </c>
      <c r="BN1163" t="s">
        <v>74</v>
      </c>
    </row>
    <row r="1164" spans="1:66">
      <c r="A1164">
        <v>101541</v>
      </c>
      <c r="B1164" t="s">
        <v>292</v>
      </c>
      <c r="C1164" s="1">
        <v>43300101</v>
      </c>
      <c r="D1164" t="s">
        <v>67</v>
      </c>
      <c r="H1164" t="str">
        <f t="shared" si="151"/>
        <v>08230471008</v>
      </c>
      <c r="I1164" t="str">
        <f t="shared" si="151"/>
        <v>08230471008</v>
      </c>
      <c r="K1164" t="str">
        <f>""</f>
        <v/>
      </c>
      <c r="M1164" t="s">
        <v>68</v>
      </c>
      <c r="N1164" t="str">
        <f t="shared" si="150"/>
        <v>FOR</v>
      </c>
      <c r="O1164" t="s">
        <v>69</v>
      </c>
      <c r="P1164" t="s">
        <v>75</v>
      </c>
      <c r="Q1164">
        <v>2016</v>
      </c>
      <c r="R1164" s="4">
        <v>42503</v>
      </c>
      <c r="S1164" s="2">
        <v>42515</v>
      </c>
      <c r="T1164" s="2">
        <v>42510</v>
      </c>
      <c r="U1164" s="4">
        <v>42570</v>
      </c>
      <c r="V1164" t="s">
        <v>71</v>
      </c>
      <c r="W1164" t="str">
        <f>"               54841"</f>
        <v xml:space="preserve">               54841</v>
      </c>
      <c r="X1164">
        <v>305</v>
      </c>
      <c r="Y1164">
        <v>0</v>
      </c>
      <c r="Z1164" s="5">
        <v>250</v>
      </c>
      <c r="AA1164" s="3">
        <v>227</v>
      </c>
      <c r="AB1164" s="5">
        <v>56750</v>
      </c>
      <c r="AC1164">
        <v>250</v>
      </c>
      <c r="AD1164">
        <v>227</v>
      </c>
      <c r="AE1164" s="1">
        <v>56750</v>
      </c>
      <c r="AF1164">
        <v>55</v>
      </c>
      <c r="AJ1164">
        <v>0</v>
      </c>
      <c r="AK1164">
        <v>0</v>
      </c>
      <c r="AL1164">
        <v>0</v>
      </c>
      <c r="AM1164">
        <v>0</v>
      </c>
      <c r="AN1164">
        <v>0</v>
      </c>
      <c r="AO1164">
        <v>0</v>
      </c>
      <c r="AP1164" s="2">
        <v>42831</v>
      </c>
      <c r="AQ1164" t="s">
        <v>72</v>
      </c>
      <c r="AR1164" t="s">
        <v>72</v>
      </c>
      <c r="AS1164">
        <v>714</v>
      </c>
      <c r="AT1164" s="4">
        <v>42797</v>
      </c>
      <c r="AU1164" t="s">
        <v>73</v>
      </c>
      <c r="AV1164">
        <v>714</v>
      </c>
      <c r="AW1164" s="4">
        <v>42797</v>
      </c>
      <c r="BD1164">
        <v>55</v>
      </c>
      <c r="BN1164" t="s">
        <v>74</v>
      </c>
    </row>
    <row r="1165" spans="1:66">
      <c r="A1165">
        <v>101541</v>
      </c>
      <c r="B1165" t="s">
        <v>292</v>
      </c>
      <c r="C1165" s="1">
        <v>43300101</v>
      </c>
      <c r="D1165" t="s">
        <v>67</v>
      </c>
      <c r="H1165" t="str">
        <f t="shared" si="151"/>
        <v>08230471008</v>
      </c>
      <c r="I1165" t="str">
        <f t="shared" si="151"/>
        <v>08230471008</v>
      </c>
      <c r="K1165" t="str">
        <f>""</f>
        <v/>
      </c>
      <c r="M1165" t="s">
        <v>68</v>
      </c>
      <c r="N1165" t="str">
        <f t="shared" si="150"/>
        <v>FOR</v>
      </c>
      <c r="O1165" t="s">
        <v>69</v>
      </c>
      <c r="P1165" t="s">
        <v>75</v>
      </c>
      <c r="Q1165">
        <v>2016</v>
      </c>
      <c r="R1165" s="4">
        <v>42503</v>
      </c>
      <c r="S1165" s="2">
        <v>42515</v>
      </c>
      <c r="T1165" s="2">
        <v>42510</v>
      </c>
      <c r="U1165" s="4">
        <v>42570</v>
      </c>
      <c r="V1165" t="s">
        <v>71</v>
      </c>
      <c r="W1165" t="str">
        <f>"               54842"</f>
        <v xml:space="preserve">               54842</v>
      </c>
      <c r="X1165">
        <v>305</v>
      </c>
      <c r="Y1165">
        <v>0</v>
      </c>
      <c r="Z1165" s="5">
        <v>250</v>
      </c>
      <c r="AA1165" s="3">
        <v>227</v>
      </c>
      <c r="AB1165" s="5">
        <v>56750</v>
      </c>
      <c r="AC1165">
        <v>250</v>
      </c>
      <c r="AD1165">
        <v>227</v>
      </c>
      <c r="AE1165" s="1">
        <v>56750</v>
      </c>
      <c r="AF1165">
        <v>55</v>
      </c>
      <c r="AJ1165">
        <v>0</v>
      </c>
      <c r="AK1165">
        <v>0</v>
      </c>
      <c r="AL1165">
        <v>0</v>
      </c>
      <c r="AM1165">
        <v>0</v>
      </c>
      <c r="AN1165">
        <v>0</v>
      </c>
      <c r="AO1165">
        <v>0</v>
      </c>
      <c r="AP1165" s="2">
        <v>42831</v>
      </c>
      <c r="AQ1165" t="s">
        <v>72</v>
      </c>
      <c r="AR1165" t="s">
        <v>72</v>
      </c>
      <c r="AS1165">
        <v>714</v>
      </c>
      <c r="AT1165" s="4">
        <v>42797</v>
      </c>
      <c r="AU1165" t="s">
        <v>73</v>
      </c>
      <c r="AV1165">
        <v>714</v>
      </c>
      <c r="AW1165" s="4">
        <v>42797</v>
      </c>
      <c r="BD1165">
        <v>55</v>
      </c>
      <c r="BN1165" t="s">
        <v>74</v>
      </c>
    </row>
    <row r="1166" spans="1:66">
      <c r="A1166">
        <v>101541</v>
      </c>
      <c r="B1166" t="s">
        <v>292</v>
      </c>
      <c r="C1166" s="1">
        <v>43300101</v>
      </c>
      <c r="D1166" t="s">
        <v>67</v>
      </c>
      <c r="H1166" t="str">
        <f t="shared" si="151"/>
        <v>08230471008</v>
      </c>
      <c r="I1166" t="str">
        <f t="shared" si="151"/>
        <v>08230471008</v>
      </c>
      <c r="K1166" t="str">
        <f>""</f>
        <v/>
      </c>
      <c r="M1166" t="s">
        <v>68</v>
      </c>
      <c r="N1166" t="str">
        <f t="shared" si="150"/>
        <v>FOR</v>
      </c>
      <c r="O1166" t="s">
        <v>69</v>
      </c>
      <c r="P1166" t="s">
        <v>75</v>
      </c>
      <c r="Q1166">
        <v>2016</v>
      </c>
      <c r="R1166" s="4">
        <v>42503</v>
      </c>
      <c r="S1166" s="2">
        <v>42515</v>
      </c>
      <c r="T1166" s="2">
        <v>42510</v>
      </c>
      <c r="U1166" s="4">
        <v>42570</v>
      </c>
      <c r="V1166" t="s">
        <v>71</v>
      </c>
      <c r="W1166" t="str">
        <f>"               54843"</f>
        <v xml:space="preserve">               54843</v>
      </c>
      <c r="X1166">
        <v>305</v>
      </c>
      <c r="Y1166">
        <v>0</v>
      </c>
      <c r="Z1166" s="5">
        <v>250</v>
      </c>
      <c r="AA1166" s="3">
        <v>227</v>
      </c>
      <c r="AB1166" s="5">
        <v>56750</v>
      </c>
      <c r="AC1166">
        <v>250</v>
      </c>
      <c r="AD1166">
        <v>227</v>
      </c>
      <c r="AE1166" s="1">
        <v>56750</v>
      </c>
      <c r="AF1166">
        <v>55</v>
      </c>
      <c r="AJ1166">
        <v>0</v>
      </c>
      <c r="AK1166">
        <v>0</v>
      </c>
      <c r="AL1166">
        <v>0</v>
      </c>
      <c r="AM1166">
        <v>0</v>
      </c>
      <c r="AN1166">
        <v>0</v>
      </c>
      <c r="AO1166">
        <v>0</v>
      </c>
      <c r="AP1166" s="2">
        <v>42831</v>
      </c>
      <c r="AQ1166" t="s">
        <v>72</v>
      </c>
      <c r="AR1166" t="s">
        <v>72</v>
      </c>
      <c r="AS1166">
        <v>714</v>
      </c>
      <c r="AT1166" s="4">
        <v>42797</v>
      </c>
      <c r="AU1166" t="s">
        <v>73</v>
      </c>
      <c r="AV1166">
        <v>714</v>
      </c>
      <c r="AW1166" s="4">
        <v>42797</v>
      </c>
      <c r="BD1166">
        <v>55</v>
      </c>
      <c r="BN1166" t="s">
        <v>74</v>
      </c>
    </row>
    <row r="1167" spans="1:66">
      <c r="A1167">
        <v>101541</v>
      </c>
      <c r="B1167" t="s">
        <v>292</v>
      </c>
      <c r="C1167" s="1">
        <v>43300101</v>
      </c>
      <c r="D1167" t="s">
        <v>67</v>
      </c>
      <c r="H1167" t="str">
        <f t="shared" si="151"/>
        <v>08230471008</v>
      </c>
      <c r="I1167" t="str">
        <f t="shared" si="151"/>
        <v>08230471008</v>
      </c>
      <c r="K1167" t="str">
        <f>""</f>
        <v/>
      </c>
      <c r="M1167" t="s">
        <v>68</v>
      </c>
      <c r="N1167" t="str">
        <f t="shared" si="150"/>
        <v>FOR</v>
      </c>
      <c r="O1167" t="s">
        <v>69</v>
      </c>
      <c r="P1167" t="s">
        <v>75</v>
      </c>
      <c r="Q1167">
        <v>2016</v>
      </c>
      <c r="R1167" s="4">
        <v>42503</v>
      </c>
      <c r="S1167" s="2">
        <v>42515</v>
      </c>
      <c r="T1167" s="2">
        <v>42510</v>
      </c>
      <c r="U1167" s="4">
        <v>42570</v>
      </c>
      <c r="V1167" t="s">
        <v>71</v>
      </c>
      <c r="W1167" t="str">
        <f>"               54844"</f>
        <v xml:space="preserve">               54844</v>
      </c>
      <c r="X1167">
        <v>305</v>
      </c>
      <c r="Y1167">
        <v>0</v>
      </c>
      <c r="Z1167" s="5">
        <v>250</v>
      </c>
      <c r="AA1167" s="3">
        <v>227</v>
      </c>
      <c r="AB1167" s="5">
        <v>56750</v>
      </c>
      <c r="AC1167">
        <v>250</v>
      </c>
      <c r="AD1167">
        <v>227</v>
      </c>
      <c r="AE1167" s="1">
        <v>56750</v>
      </c>
      <c r="AF1167">
        <v>55</v>
      </c>
      <c r="AJ1167">
        <v>0</v>
      </c>
      <c r="AK1167">
        <v>0</v>
      </c>
      <c r="AL1167">
        <v>0</v>
      </c>
      <c r="AM1167">
        <v>0</v>
      </c>
      <c r="AN1167">
        <v>0</v>
      </c>
      <c r="AO1167">
        <v>0</v>
      </c>
      <c r="AP1167" s="2">
        <v>42831</v>
      </c>
      <c r="AQ1167" t="s">
        <v>72</v>
      </c>
      <c r="AR1167" t="s">
        <v>72</v>
      </c>
      <c r="AS1167">
        <v>714</v>
      </c>
      <c r="AT1167" s="4">
        <v>42797</v>
      </c>
      <c r="AU1167" t="s">
        <v>73</v>
      </c>
      <c r="AV1167">
        <v>714</v>
      </c>
      <c r="AW1167" s="4">
        <v>42797</v>
      </c>
      <c r="BD1167">
        <v>55</v>
      </c>
      <c r="BN1167" t="s">
        <v>74</v>
      </c>
    </row>
    <row r="1168" spans="1:66">
      <c r="A1168">
        <v>101541</v>
      </c>
      <c r="B1168" t="s">
        <v>292</v>
      </c>
      <c r="C1168" s="1">
        <v>43300101</v>
      </c>
      <c r="D1168" t="s">
        <v>67</v>
      </c>
      <c r="H1168" t="str">
        <f t="shared" si="151"/>
        <v>08230471008</v>
      </c>
      <c r="I1168" t="str">
        <f t="shared" si="151"/>
        <v>08230471008</v>
      </c>
      <c r="K1168" t="str">
        <f>""</f>
        <v/>
      </c>
      <c r="M1168" t="s">
        <v>68</v>
      </c>
      <c r="N1168" t="str">
        <f t="shared" si="150"/>
        <v>FOR</v>
      </c>
      <c r="O1168" t="s">
        <v>69</v>
      </c>
      <c r="P1168" t="s">
        <v>75</v>
      </c>
      <c r="Q1168">
        <v>2016</v>
      </c>
      <c r="R1168" s="4">
        <v>42503</v>
      </c>
      <c r="S1168" s="2">
        <v>42515</v>
      </c>
      <c r="T1168" s="2">
        <v>42510</v>
      </c>
      <c r="U1168" s="4">
        <v>42570</v>
      </c>
      <c r="V1168" t="s">
        <v>71</v>
      </c>
      <c r="W1168" t="str">
        <f>"               54845"</f>
        <v xml:space="preserve">               54845</v>
      </c>
      <c r="X1168">
        <v>305</v>
      </c>
      <c r="Y1168">
        <v>0</v>
      </c>
      <c r="Z1168" s="5">
        <v>250</v>
      </c>
      <c r="AA1168" s="3">
        <v>227</v>
      </c>
      <c r="AB1168" s="5">
        <v>56750</v>
      </c>
      <c r="AC1168">
        <v>250</v>
      </c>
      <c r="AD1168">
        <v>227</v>
      </c>
      <c r="AE1168" s="1">
        <v>56750</v>
      </c>
      <c r="AF1168">
        <v>55</v>
      </c>
      <c r="AJ1168">
        <v>0</v>
      </c>
      <c r="AK1168">
        <v>0</v>
      </c>
      <c r="AL1168">
        <v>0</v>
      </c>
      <c r="AM1168">
        <v>0</v>
      </c>
      <c r="AN1168">
        <v>0</v>
      </c>
      <c r="AO1168">
        <v>0</v>
      </c>
      <c r="AP1168" s="2">
        <v>42831</v>
      </c>
      <c r="AQ1168" t="s">
        <v>72</v>
      </c>
      <c r="AR1168" t="s">
        <v>72</v>
      </c>
      <c r="AS1168">
        <v>714</v>
      </c>
      <c r="AT1168" s="4">
        <v>42797</v>
      </c>
      <c r="AU1168" t="s">
        <v>73</v>
      </c>
      <c r="AV1168">
        <v>714</v>
      </c>
      <c r="AW1168" s="4">
        <v>42797</v>
      </c>
      <c r="BD1168">
        <v>55</v>
      </c>
      <c r="BN1168" t="s">
        <v>74</v>
      </c>
    </row>
    <row r="1169" spans="1:66">
      <c r="A1169">
        <v>101541</v>
      </c>
      <c r="B1169" t="s">
        <v>292</v>
      </c>
      <c r="C1169" s="1">
        <v>43300101</v>
      </c>
      <c r="D1169" t="s">
        <v>67</v>
      </c>
      <c r="H1169" t="str">
        <f t="shared" si="151"/>
        <v>08230471008</v>
      </c>
      <c r="I1169" t="str">
        <f t="shared" si="151"/>
        <v>08230471008</v>
      </c>
      <c r="K1169" t="str">
        <f>""</f>
        <v/>
      </c>
      <c r="M1169" t="s">
        <v>68</v>
      </c>
      <c r="N1169" t="str">
        <f t="shared" si="150"/>
        <v>FOR</v>
      </c>
      <c r="O1169" t="s">
        <v>69</v>
      </c>
      <c r="P1169" t="s">
        <v>75</v>
      </c>
      <c r="Q1169">
        <v>2016</v>
      </c>
      <c r="R1169" s="4">
        <v>42503</v>
      </c>
      <c r="S1169" s="2">
        <v>42515</v>
      </c>
      <c r="T1169" s="2">
        <v>42510</v>
      </c>
      <c r="U1169" s="4">
        <v>42570</v>
      </c>
      <c r="V1169" t="s">
        <v>71</v>
      </c>
      <c r="W1169" t="str">
        <f>"               54846"</f>
        <v xml:space="preserve">               54846</v>
      </c>
      <c r="X1169">
        <v>305</v>
      </c>
      <c r="Y1169">
        <v>0</v>
      </c>
      <c r="Z1169" s="5">
        <v>250</v>
      </c>
      <c r="AA1169" s="3">
        <v>227</v>
      </c>
      <c r="AB1169" s="5">
        <v>56750</v>
      </c>
      <c r="AC1169">
        <v>250</v>
      </c>
      <c r="AD1169">
        <v>227</v>
      </c>
      <c r="AE1169" s="1">
        <v>56750</v>
      </c>
      <c r="AF1169">
        <v>55</v>
      </c>
      <c r="AJ1169">
        <v>0</v>
      </c>
      <c r="AK1169">
        <v>0</v>
      </c>
      <c r="AL1169">
        <v>0</v>
      </c>
      <c r="AM1169">
        <v>0</v>
      </c>
      <c r="AN1169">
        <v>0</v>
      </c>
      <c r="AO1169">
        <v>0</v>
      </c>
      <c r="AP1169" s="2">
        <v>42831</v>
      </c>
      <c r="AQ1169" t="s">
        <v>72</v>
      </c>
      <c r="AR1169" t="s">
        <v>72</v>
      </c>
      <c r="AS1169">
        <v>714</v>
      </c>
      <c r="AT1169" s="4">
        <v>42797</v>
      </c>
      <c r="AU1169" t="s">
        <v>73</v>
      </c>
      <c r="AV1169">
        <v>714</v>
      </c>
      <c r="AW1169" s="4">
        <v>42797</v>
      </c>
      <c r="BD1169">
        <v>55</v>
      </c>
      <c r="BN1169" t="s">
        <v>74</v>
      </c>
    </row>
    <row r="1170" spans="1:66">
      <c r="A1170">
        <v>101541</v>
      </c>
      <c r="B1170" t="s">
        <v>292</v>
      </c>
      <c r="C1170" s="1">
        <v>43300101</v>
      </c>
      <c r="D1170" t="s">
        <v>67</v>
      </c>
      <c r="H1170" t="str">
        <f t="shared" si="151"/>
        <v>08230471008</v>
      </c>
      <c r="I1170" t="str">
        <f t="shared" si="151"/>
        <v>08230471008</v>
      </c>
      <c r="K1170" t="str">
        <f>""</f>
        <v/>
      </c>
      <c r="M1170" t="s">
        <v>68</v>
      </c>
      <c r="N1170" t="str">
        <f t="shared" si="150"/>
        <v>FOR</v>
      </c>
      <c r="O1170" t="s">
        <v>69</v>
      </c>
      <c r="P1170" t="s">
        <v>75</v>
      </c>
      <c r="Q1170">
        <v>2016</v>
      </c>
      <c r="R1170" s="4">
        <v>42517</v>
      </c>
      <c r="S1170" s="2">
        <v>42529</v>
      </c>
      <c r="T1170" s="2">
        <v>42524</v>
      </c>
      <c r="U1170" s="4">
        <v>42584</v>
      </c>
      <c r="V1170" t="s">
        <v>71</v>
      </c>
      <c r="W1170" t="str">
        <f>"               55250"</f>
        <v xml:space="preserve">               55250</v>
      </c>
      <c r="X1170" s="1">
        <v>1976</v>
      </c>
      <c r="Y1170">
        <v>0</v>
      </c>
      <c r="Z1170" s="5">
        <v>1900</v>
      </c>
      <c r="AA1170" s="3">
        <v>213</v>
      </c>
      <c r="AB1170" s="5">
        <v>404700</v>
      </c>
      <c r="AC1170" s="1">
        <v>1900</v>
      </c>
      <c r="AD1170">
        <v>213</v>
      </c>
      <c r="AE1170" s="1">
        <v>404700</v>
      </c>
      <c r="AF1170">
        <v>76</v>
      </c>
      <c r="AJ1170">
        <v>0</v>
      </c>
      <c r="AK1170">
        <v>0</v>
      </c>
      <c r="AL1170">
        <v>0</v>
      </c>
      <c r="AM1170">
        <v>0</v>
      </c>
      <c r="AN1170">
        <v>0</v>
      </c>
      <c r="AO1170">
        <v>0</v>
      </c>
      <c r="AP1170" s="2">
        <v>42831</v>
      </c>
      <c r="AQ1170" t="s">
        <v>72</v>
      </c>
      <c r="AR1170" t="s">
        <v>72</v>
      </c>
      <c r="AS1170">
        <v>714</v>
      </c>
      <c r="AT1170" s="4">
        <v>42797</v>
      </c>
      <c r="AU1170" t="s">
        <v>73</v>
      </c>
      <c r="AV1170">
        <v>714</v>
      </c>
      <c r="AW1170" s="4">
        <v>42797</v>
      </c>
      <c r="BD1170">
        <v>76</v>
      </c>
      <c r="BN1170" t="s">
        <v>74</v>
      </c>
    </row>
    <row r="1171" spans="1:66">
      <c r="A1171">
        <v>101541</v>
      </c>
      <c r="B1171" t="s">
        <v>292</v>
      </c>
      <c r="C1171" s="1">
        <v>43300101</v>
      </c>
      <c r="D1171" t="s">
        <v>67</v>
      </c>
      <c r="H1171" t="str">
        <f t="shared" si="151"/>
        <v>08230471008</v>
      </c>
      <c r="I1171" t="str">
        <f t="shared" si="151"/>
        <v>08230471008</v>
      </c>
      <c r="K1171" t="str">
        <f>""</f>
        <v/>
      </c>
      <c r="M1171" t="s">
        <v>68</v>
      </c>
      <c r="N1171" t="str">
        <f t="shared" si="150"/>
        <v>FOR</v>
      </c>
      <c r="O1171" t="s">
        <v>69</v>
      </c>
      <c r="P1171" t="s">
        <v>75</v>
      </c>
      <c r="Q1171">
        <v>2016</v>
      </c>
      <c r="R1171" s="4">
        <v>42517</v>
      </c>
      <c r="S1171" s="2">
        <v>42529</v>
      </c>
      <c r="T1171" s="2">
        <v>42524</v>
      </c>
      <c r="U1171" s="4">
        <v>42584</v>
      </c>
      <c r="V1171" t="s">
        <v>71</v>
      </c>
      <c r="W1171" t="str">
        <f>"               55251"</f>
        <v xml:space="preserve">               55251</v>
      </c>
      <c r="X1171">
        <v>305</v>
      </c>
      <c r="Y1171">
        <v>0</v>
      </c>
      <c r="Z1171" s="5">
        <v>250</v>
      </c>
      <c r="AA1171" s="3">
        <v>213</v>
      </c>
      <c r="AB1171" s="5">
        <v>53250</v>
      </c>
      <c r="AC1171">
        <v>250</v>
      </c>
      <c r="AD1171">
        <v>213</v>
      </c>
      <c r="AE1171" s="1">
        <v>53250</v>
      </c>
      <c r="AF1171">
        <v>55</v>
      </c>
      <c r="AJ1171">
        <v>0</v>
      </c>
      <c r="AK1171">
        <v>0</v>
      </c>
      <c r="AL1171">
        <v>0</v>
      </c>
      <c r="AM1171">
        <v>0</v>
      </c>
      <c r="AN1171">
        <v>0</v>
      </c>
      <c r="AO1171">
        <v>0</v>
      </c>
      <c r="AP1171" s="2">
        <v>42831</v>
      </c>
      <c r="AQ1171" t="s">
        <v>72</v>
      </c>
      <c r="AR1171" t="s">
        <v>72</v>
      </c>
      <c r="AS1171">
        <v>714</v>
      </c>
      <c r="AT1171" s="4">
        <v>42797</v>
      </c>
      <c r="AU1171" t="s">
        <v>73</v>
      </c>
      <c r="AV1171">
        <v>714</v>
      </c>
      <c r="AW1171" s="4">
        <v>42797</v>
      </c>
      <c r="BD1171">
        <v>55</v>
      </c>
      <c r="BN1171" t="s">
        <v>74</v>
      </c>
    </row>
    <row r="1172" spans="1:66">
      <c r="A1172">
        <v>101541</v>
      </c>
      <c r="B1172" t="s">
        <v>292</v>
      </c>
      <c r="C1172" s="1">
        <v>43300101</v>
      </c>
      <c r="D1172" t="s">
        <v>67</v>
      </c>
      <c r="H1172" t="str">
        <f t="shared" si="151"/>
        <v>08230471008</v>
      </c>
      <c r="I1172" t="str">
        <f t="shared" si="151"/>
        <v>08230471008</v>
      </c>
      <c r="K1172" t="str">
        <f>""</f>
        <v/>
      </c>
      <c r="M1172" t="s">
        <v>68</v>
      </c>
      <c r="N1172" t="str">
        <f t="shared" si="150"/>
        <v>FOR</v>
      </c>
      <c r="O1172" t="s">
        <v>69</v>
      </c>
      <c r="P1172" t="s">
        <v>75</v>
      </c>
      <c r="Q1172">
        <v>2016</v>
      </c>
      <c r="R1172" s="4">
        <v>42517</v>
      </c>
      <c r="S1172" s="2">
        <v>42529</v>
      </c>
      <c r="T1172" s="2">
        <v>42524</v>
      </c>
      <c r="U1172" s="4">
        <v>42584</v>
      </c>
      <c r="V1172" t="s">
        <v>71</v>
      </c>
      <c r="W1172" t="str">
        <f>"               55252"</f>
        <v xml:space="preserve">               55252</v>
      </c>
      <c r="X1172">
        <v>305</v>
      </c>
      <c r="Y1172">
        <v>0</v>
      </c>
      <c r="Z1172" s="5">
        <v>250</v>
      </c>
      <c r="AA1172" s="3">
        <v>213</v>
      </c>
      <c r="AB1172" s="5">
        <v>53250</v>
      </c>
      <c r="AC1172">
        <v>250</v>
      </c>
      <c r="AD1172">
        <v>213</v>
      </c>
      <c r="AE1172" s="1">
        <v>53250</v>
      </c>
      <c r="AF1172">
        <v>55</v>
      </c>
      <c r="AJ1172">
        <v>0</v>
      </c>
      <c r="AK1172">
        <v>0</v>
      </c>
      <c r="AL1172">
        <v>0</v>
      </c>
      <c r="AM1172">
        <v>0</v>
      </c>
      <c r="AN1172">
        <v>0</v>
      </c>
      <c r="AO1172">
        <v>0</v>
      </c>
      <c r="AP1172" s="2">
        <v>42831</v>
      </c>
      <c r="AQ1172" t="s">
        <v>72</v>
      </c>
      <c r="AR1172" t="s">
        <v>72</v>
      </c>
      <c r="AS1172">
        <v>714</v>
      </c>
      <c r="AT1172" s="4">
        <v>42797</v>
      </c>
      <c r="AU1172" t="s">
        <v>73</v>
      </c>
      <c r="AV1172">
        <v>714</v>
      </c>
      <c r="AW1172" s="4">
        <v>42797</v>
      </c>
      <c r="BD1172">
        <v>55</v>
      </c>
      <c r="BN1172" t="s">
        <v>74</v>
      </c>
    </row>
    <row r="1173" spans="1:66">
      <c r="A1173">
        <v>101541</v>
      </c>
      <c r="B1173" t="s">
        <v>292</v>
      </c>
      <c r="C1173" s="1">
        <v>43300101</v>
      </c>
      <c r="D1173" t="s">
        <v>67</v>
      </c>
      <c r="H1173" t="str">
        <f t="shared" si="151"/>
        <v>08230471008</v>
      </c>
      <c r="I1173" t="str">
        <f t="shared" si="151"/>
        <v>08230471008</v>
      </c>
      <c r="K1173" t="str">
        <f>""</f>
        <v/>
      </c>
      <c r="M1173" t="s">
        <v>68</v>
      </c>
      <c r="N1173" t="str">
        <f t="shared" ref="N1173:N1192" si="152">"FOR"</f>
        <v>FOR</v>
      </c>
      <c r="O1173" t="s">
        <v>69</v>
      </c>
      <c r="P1173" t="s">
        <v>75</v>
      </c>
      <c r="Q1173">
        <v>2016</v>
      </c>
      <c r="R1173" s="4">
        <v>42517</v>
      </c>
      <c r="S1173" s="2">
        <v>42529</v>
      </c>
      <c r="T1173" s="2">
        <v>42524</v>
      </c>
      <c r="U1173" s="4">
        <v>42584</v>
      </c>
      <c r="V1173" t="s">
        <v>71</v>
      </c>
      <c r="W1173" t="str">
        <f>"               55253"</f>
        <v xml:space="preserve">               55253</v>
      </c>
      <c r="X1173">
        <v>305</v>
      </c>
      <c r="Y1173">
        <v>0</v>
      </c>
      <c r="Z1173" s="5">
        <v>250</v>
      </c>
      <c r="AA1173" s="3">
        <v>213</v>
      </c>
      <c r="AB1173" s="5">
        <v>53250</v>
      </c>
      <c r="AC1173">
        <v>250</v>
      </c>
      <c r="AD1173">
        <v>213</v>
      </c>
      <c r="AE1173" s="1">
        <v>53250</v>
      </c>
      <c r="AF1173">
        <v>55</v>
      </c>
      <c r="AJ1173">
        <v>0</v>
      </c>
      <c r="AK1173">
        <v>0</v>
      </c>
      <c r="AL1173">
        <v>0</v>
      </c>
      <c r="AM1173">
        <v>0</v>
      </c>
      <c r="AN1173">
        <v>0</v>
      </c>
      <c r="AO1173">
        <v>0</v>
      </c>
      <c r="AP1173" s="2">
        <v>42831</v>
      </c>
      <c r="AQ1173" t="s">
        <v>72</v>
      </c>
      <c r="AR1173" t="s">
        <v>72</v>
      </c>
      <c r="AS1173">
        <v>714</v>
      </c>
      <c r="AT1173" s="4">
        <v>42797</v>
      </c>
      <c r="AU1173" t="s">
        <v>73</v>
      </c>
      <c r="AV1173">
        <v>714</v>
      </c>
      <c r="AW1173" s="4">
        <v>42797</v>
      </c>
      <c r="BD1173">
        <v>55</v>
      </c>
      <c r="BN1173" t="s">
        <v>74</v>
      </c>
    </row>
    <row r="1174" spans="1:66">
      <c r="A1174">
        <v>101541</v>
      </c>
      <c r="B1174" t="s">
        <v>292</v>
      </c>
      <c r="C1174" s="1">
        <v>43300101</v>
      </c>
      <c r="D1174" t="s">
        <v>67</v>
      </c>
      <c r="H1174" t="str">
        <f t="shared" si="151"/>
        <v>08230471008</v>
      </c>
      <c r="I1174" t="str">
        <f t="shared" si="151"/>
        <v>08230471008</v>
      </c>
      <c r="K1174" t="str">
        <f>""</f>
        <v/>
      </c>
      <c r="M1174" t="s">
        <v>68</v>
      </c>
      <c r="N1174" t="str">
        <f t="shared" si="152"/>
        <v>FOR</v>
      </c>
      <c r="O1174" t="s">
        <v>69</v>
      </c>
      <c r="P1174" t="s">
        <v>75</v>
      </c>
      <c r="Q1174">
        <v>2016</v>
      </c>
      <c r="R1174" s="4">
        <v>42517</v>
      </c>
      <c r="S1174" s="2">
        <v>42529</v>
      </c>
      <c r="T1174" s="2">
        <v>42524</v>
      </c>
      <c r="U1174" s="4">
        <v>42584</v>
      </c>
      <c r="V1174" t="s">
        <v>71</v>
      </c>
      <c r="W1174" t="str">
        <f>"               55254"</f>
        <v xml:space="preserve">               55254</v>
      </c>
      <c r="X1174">
        <v>305</v>
      </c>
      <c r="Y1174">
        <v>0</v>
      </c>
      <c r="Z1174" s="5">
        <v>250</v>
      </c>
      <c r="AA1174" s="3">
        <v>213</v>
      </c>
      <c r="AB1174" s="5">
        <v>53250</v>
      </c>
      <c r="AC1174">
        <v>250</v>
      </c>
      <c r="AD1174">
        <v>213</v>
      </c>
      <c r="AE1174" s="1">
        <v>53250</v>
      </c>
      <c r="AF1174">
        <v>55</v>
      </c>
      <c r="AJ1174">
        <v>0</v>
      </c>
      <c r="AK1174">
        <v>0</v>
      </c>
      <c r="AL1174">
        <v>0</v>
      </c>
      <c r="AM1174">
        <v>0</v>
      </c>
      <c r="AN1174">
        <v>0</v>
      </c>
      <c r="AO1174">
        <v>0</v>
      </c>
      <c r="AP1174" s="2">
        <v>42831</v>
      </c>
      <c r="AQ1174" t="s">
        <v>72</v>
      </c>
      <c r="AR1174" t="s">
        <v>72</v>
      </c>
      <c r="AS1174">
        <v>714</v>
      </c>
      <c r="AT1174" s="4">
        <v>42797</v>
      </c>
      <c r="AU1174" t="s">
        <v>73</v>
      </c>
      <c r="AV1174">
        <v>714</v>
      </c>
      <c r="AW1174" s="4">
        <v>42797</v>
      </c>
      <c r="BD1174">
        <v>55</v>
      </c>
      <c r="BN1174" t="s">
        <v>74</v>
      </c>
    </row>
    <row r="1175" spans="1:66">
      <c r="A1175">
        <v>101541</v>
      </c>
      <c r="B1175" t="s">
        <v>292</v>
      </c>
      <c r="C1175" s="1">
        <v>43300101</v>
      </c>
      <c r="D1175" t="s">
        <v>67</v>
      </c>
      <c r="H1175" t="str">
        <f t="shared" si="151"/>
        <v>08230471008</v>
      </c>
      <c r="I1175" t="str">
        <f t="shared" si="151"/>
        <v>08230471008</v>
      </c>
      <c r="K1175" t="str">
        <f>""</f>
        <v/>
      </c>
      <c r="M1175" t="s">
        <v>68</v>
      </c>
      <c r="N1175" t="str">
        <f t="shared" si="152"/>
        <v>FOR</v>
      </c>
      <c r="O1175" t="s">
        <v>69</v>
      </c>
      <c r="P1175" t="s">
        <v>75</v>
      </c>
      <c r="Q1175">
        <v>2016</v>
      </c>
      <c r="R1175" s="4">
        <v>42517</v>
      </c>
      <c r="S1175" s="2">
        <v>42529</v>
      </c>
      <c r="T1175" s="2">
        <v>42524</v>
      </c>
      <c r="U1175" s="4">
        <v>42584</v>
      </c>
      <c r="V1175" t="s">
        <v>71</v>
      </c>
      <c r="W1175" t="str">
        <f>"               55255"</f>
        <v xml:space="preserve">               55255</v>
      </c>
      <c r="X1175">
        <v>305</v>
      </c>
      <c r="Y1175">
        <v>0</v>
      </c>
      <c r="Z1175" s="5">
        <v>250</v>
      </c>
      <c r="AA1175" s="3">
        <v>213</v>
      </c>
      <c r="AB1175" s="5">
        <v>53250</v>
      </c>
      <c r="AC1175">
        <v>250</v>
      </c>
      <c r="AD1175">
        <v>213</v>
      </c>
      <c r="AE1175" s="1">
        <v>53250</v>
      </c>
      <c r="AF1175">
        <v>55</v>
      </c>
      <c r="AJ1175">
        <v>0</v>
      </c>
      <c r="AK1175">
        <v>0</v>
      </c>
      <c r="AL1175">
        <v>0</v>
      </c>
      <c r="AM1175">
        <v>0</v>
      </c>
      <c r="AN1175">
        <v>0</v>
      </c>
      <c r="AO1175">
        <v>0</v>
      </c>
      <c r="AP1175" s="2">
        <v>42831</v>
      </c>
      <c r="AQ1175" t="s">
        <v>72</v>
      </c>
      <c r="AR1175" t="s">
        <v>72</v>
      </c>
      <c r="AS1175">
        <v>714</v>
      </c>
      <c r="AT1175" s="4">
        <v>42797</v>
      </c>
      <c r="AU1175" t="s">
        <v>73</v>
      </c>
      <c r="AV1175">
        <v>714</v>
      </c>
      <c r="AW1175" s="4">
        <v>42797</v>
      </c>
      <c r="BD1175">
        <v>55</v>
      </c>
      <c r="BN1175" t="s">
        <v>74</v>
      </c>
    </row>
    <row r="1176" spans="1:66">
      <c r="A1176">
        <v>101541</v>
      </c>
      <c r="B1176" t="s">
        <v>292</v>
      </c>
      <c r="C1176" s="1">
        <v>43300101</v>
      </c>
      <c r="D1176" t="s">
        <v>67</v>
      </c>
      <c r="H1176" t="str">
        <f t="shared" ref="H1176:I1192" si="153">"08230471008"</f>
        <v>08230471008</v>
      </c>
      <c r="I1176" t="str">
        <f t="shared" si="153"/>
        <v>08230471008</v>
      </c>
      <c r="K1176" t="str">
        <f>""</f>
        <v/>
      </c>
      <c r="M1176" t="s">
        <v>68</v>
      </c>
      <c r="N1176" t="str">
        <f t="shared" si="152"/>
        <v>FOR</v>
      </c>
      <c r="O1176" t="s">
        <v>69</v>
      </c>
      <c r="P1176" t="s">
        <v>75</v>
      </c>
      <c r="Q1176">
        <v>2016</v>
      </c>
      <c r="R1176" s="4">
        <v>42517</v>
      </c>
      <c r="S1176" s="2">
        <v>42529</v>
      </c>
      <c r="T1176" s="2">
        <v>42524</v>
      </c>
      <c r="U1176" s="4">
        <v>42584</v>
      </c>
      <c r="V1176" t="s">
        <v>71</v>
      </c>
      <c r="W1176" t="str">
        <f>"               55256"</f>
        <v xml:space="preserve">               55256</v>
      </c>
      <c r="X1176">
        <v>305</v>
      </c>
      <c r="Y1176">
        <v>0</v>
      </c>
      <c r="Z1176" s="5">
        <v>250</v>
      </c>
      <c r="AA1176" s="3">
        <v>213</v>
      </c>
      <c r="AB1176" s="5">
        <v>53250</v>
      </c>
      <c r="AC1176">
        <v>250</v>
      </c>
      <c r="AD1176">
        <v>213</v>
      </c>
      <c r="AE1176" s="1">
        <v>53250</v>
      </c>
      <c r="AF1176">
        <v>55</v>
      </c>
      <c r="AJ1176">
        <v>0</v>
      </c>
      <c r="AK1176">
        <v>0</v>
      </c>
      <c r="AL1176">
        <v>0</v>
      </c>
      <c r="AM1176">
        <v>0</v>
      </c>
      <c r="AN1176">
        <v>0</v>
      </c>
      <c r="AO1176">
        <v>0</v>
      </c>
      <c r="AP1176" s="2">
        <v>42831</v>
      </c>
      <c r="AQ1176" t="s">
        <v>72</v>
      </c>
      <c r="AR1176" t="s">
        <v>72</v>
      </c>
      <c r="AS1176">
        <v>714</v>
      </c>
      <c r="AT1176" s="4">
        <v>42797</v>
      </c>
      <c r="AU1176" t="s">
        <v>73</v>
      </c>
      <c r="AV1176">
        <v>714</v>
      </c>
      <c r="AW1176" s="4">
        <v>42797</v>
      </c>
      <c r="BD1176">
        <v>55</v>
      </c>
      <c r="BN1176" t="s">
        <v>74</v>
      </c>
    </row>
    <row r="1177" spans="1:66">
      <c r="A1177">
        <v>101541</v>
      </c>
      <c r="B1177" t="s">
        <v>292</v>
      </c>
      <c r="C1177" s="1">
        <v>43300101</v>
      </c>
      <c r="D1177" t="s">
        <v>67</v>
      </c>
      <c r="H1177" t="str">
        <f t="shared" si="153"/>
        <v>08230471008</v>
      </c>
      <c r="I1177" t="str">
        <f t="shared" si="153"/>
        <v>08230471008</v>
      </c>
      <c r="K1177" t="str">
        <f>""</f>
        <v/>
      </c>
      <c r="M1177" t="s">
        <v>68</v>
      </c>
      <c r="N1177" t="str">
        <f t="shared" si="152"/>
        <v>FOR</v>
      </c>
      <c r="O1177" t="s">
        <v>69</v>
      </c>
      <c r="P1177" t="s">
        <v>75</v>
      </c>
      <c r="Q1177">
        <v>2016</v>
      </c>
      <c r="R1177" s="4">
        <v>42517</v>
      </c>
      <c r="S1177" s="2">
        <v>42529</v>
      </c>
      <c r="T1177" s="2">
        <v>42524</v>
      </c>
      <c r="U1177" s="4">
        <v>42584</v>
      </c>
      <c r="V1177" t="s">
        <v>71</v>
      </c>
      <c r="W1177" t="str">
        <f>"               55257"</f>
        <v xml:space="preserve">               55257</v>
      </c>
      <c r="X1177">
        <v>305</v>
      </c>
      <c r="Y1177">
        <v>0</v>
      </c>
      <c r="Z1177" s="5">
        <v>250</v>
      </c>
      <c r="AA1177" s="3">
        <v>213</v>
      </c>
      <c r="AB1177" s="5">
        <v>53250</v>
      </c>
      <c r="AC1177">
        <v>250</v>
      </c>
      <c r="AD1177">
        <v>213</v>
      </c>
      <c r="AE1177" s="1">
        <v>53250</v>
      </c>
      <c r="AF1177">
        <v>55</v>
      </c>
      <c r="AJ1177">
        <v>0</v>
      </c>
      <c r="AK1177">
        <v>0</v>
      </c>
      <c r="AL1177">
        <v>0</v>
      </c>
      <c r="AM1177">
        <v>0</v>
      </c>
      <c r="AN1177">
        <v>0</v>
      </c>
      <c r="AO1177">
        <v>0</v>
      </c>
      <c r="AP1177" s="2">
        <v>42831</v>
      </c>
      <c r="AQ1177" t="s">
        <v>72</v>
      </c>
      <c r="AR1177" t="s">
        <v>72</v>
      </c>
      <c r="AS1177">
        <v>714</v>
      </c>
      <c r="AT1177" s="4">
        <v>42797</v>
      </c>
      <c r="AU1177" t="s">
        <v>73</v>
      </c>
      <c r="AV1177">
        <v>714</v>
      </c>
      <c r="AW1177" s="4">
        <v>42797</v>
      </c>
      <c r="BD1177">
        <v>55</v>
      </c>
      <c r="BN1177" t="s">
        <v>74</v>
      </c>
    </row>
    <row r="1178" spans="1:66">
      <c r="A1178">
        <v>101541</v>
      </c>
      <c r="B1178" t="s">
        <v>292</v>
      </c>
      <c r="C1178" s="1">
        <v>43300101</v>
      </c>
      <c r="D1178" t="s">
        <v>67</v>
      </c>
      <c r="H1178" t="str">
        <f t="shared" si="153"/>
        <v>08230471008</v>
      </c>
      <c r="I1178" t="str">
        <f t="shared" si="153"/>
        <v>08230471008</v>
      </c>
      <c r="K1178" t="str">
        <f>""</f>
        <v/>
      </c>
      <c r="M1178" t="s">
        <v>68</v>
      </c>
      <c r="N1178" t="str">
        <f t="shared" si="152"/>
        <v>FOR</v>
      </c>
      <c r="O1178" t="s">
        <v>69</v>
      </c>
      <c r="P1178" t="s">
        <v>75</v>
      </c>
      <c r="Q1178">
        <v>2016</v>
      </c>
      <c r="R1178" s="4">
        <v>42517</v>
      </c>
      <c r="S1178" s="2">
        <v>42529</v>
      </c>
      <c r="T1178" s="2">
        <v>42524</v>
      </c>
      <c r="U1178" s="4">
        <v>42584</v>
      </c>
      <c r="V1178" t="s">
        <v>71</v>
      </c>
      <c r="W1178" t="str">
        <f>"               55258"</f>
        <v xml:space="preserve">               55258</v>
      </c>
      <c r="X1178">
        <v>305</v>
      </c>
      <c r="Y1178">
        <v>0</v>
      </c>
      <c r="Z1178" s="5">
        <v>250</v>
      </c>
      <c r="AA1178" s="3">
        <v>213</v>
      </c>
      <c r="AB1178" s="5">
        <v>53250</v>
      </c>
      <c r="AC1178">
        <v>250</v>
      </c>
      <c r="AD1178">
        <v>213</v>
      </c>
      <c r="AE1178" s="1">
        <v>53250</v>
      </c>
      <c r="AF1178">
        <v>55</v>
      </c>
      <c r="AJ1178">
        <v>0</v>
      </c>
      <c r="AK1178">
        <v>0</v>
      </c>
      <c r="AL1178">
        <v>0</v>
      </c>
      <c r="AM1178">
        <v>0</v>
      </c>
      <c r="AN1178">
        <v>0</v>
      </c>
      <c r="AO1178">
        <v>0</v>
      </c>
      <c r="AP1178" s="2">
        <v>42831</v>
      </c>
      <c r="AQ1178" t="s">
        <v>72</v>
      </c>
      <c r="AR1178" t="s">
        <v>72</v>
      </c>
      <c r="AS1178">
        <v>714</v>
      </c>
      <c r="AT1178" s="4">
        <v>42797</v>
      </c>
      <c r="AU1178" t="s">
        <v>73</v>
      </c>
      <c r="AV1178">
        <v>714</v>
      </c>
      <c r="AW1178" s="4">
        <v>42797</v>
      </c>
      <c r="BD1178">
        <v>55</v>
      </c>
      <c r="BN1178" t="s">
        <v>74</v>
      </c>
    </row>
    <row r="1179" spans="1:66">
      <c r="A1179">
        <v>101541</v>
      </c>
      <c r="B1179" t="s">
        <v>292</v>
      </c>
      <c r="C1179" s="1">
        <v>43300101</v>
      </c>
      <c r="D1179" t="s">
        <v>67</v>
      </c>
      <c r="H1179" t="str">
        <f t="shared" si="153"/>
        <v>08230471008</v>
      </c>
      <c r="I1179" t="str">
        <f t="shared" si="153"/>
        <v>08230471008</v>
      </c>
      <c r="K1179" t="str">
        <f>""</f>
        <v/>
      </c>
      <c r="M1179" t="s">
        <v>68</v>
      </c>
      <c r="N1179" t="str">
        <f t="shared" si="152"/>
        <v>FOR</v>
      </c>
      <c r="O1179" t="s">
        <v>69</v>
      </c>
      <c r="P1179" t="s">
        <v>75</v>
      </c>
      <c r="Q1179">
        <v>2016</v>
      </c>
      <c r="R1179" s="4">
        <v>42517</v>
      </c>
      <c r="S1179" s="2">
        <v>42529</v>
      </c>
      <c r="T1179" s="2">
        <v>42524</v>
      </c>
      <c r="U1179" s="4">
        <v>42584</v>
      </c>
      <c r="V1179" t="s">
        <v>71</v>
      </c>
      <c r="W1179" t="str">
        <f>"               55259"</f>
        <v xml:space="preserve">               55259</v>
      </c>
      <c r="X1179">
        <v>305</v>
      </c>
      <c r="Y1179">
        <v>0</v>
      </c>
      <c r="Z1179" s="5">
        <v>250</v>
      </c>
      <c r="AA1179" s="3">
        <v>213</v>
      </c>
      <c r="AB1179" s="5">
        <v>53250</v>
      </c>
      <c r="AC1179">
        <v>250</v>
      </c>
      <c r="AD1179">
        <v>213</v>
      </c>
      <c r="AE1179" s="1">
        <v>53250</v>
      </c>
      <c r="AF1179">
        <v>55</v>
      </c>
      <c r="AJ1179">
        <v>0</v>
      </c>
      <c r="AK1179">
        <v>0</v>
      </c>
      <c r="AL1179">
        <v>0</v>
      </c>
      <c r="AM1179">
        <v>0</v>
      </c>
      <c r="AN1179">
        <v>0</v>
      </c>
      <c r="AO1179">
        <v>0</v>
      </c>
      <c r="AP1179" s="2">
        <v>42831</v>
      </c>
      <c r="AQ1179" t="s">
        <v>72</v>
      </c>
      <c r="AR1179" t="s">
        <v>72</v>
      </c>
      <c r="AS1179">
        <v>714</v>
      </c>
      <c r="AT1179" s="4">
        <v>42797</v>
      </c>
      <c r="AU1179" t="s">
        <v>73</v>
      </c>
      <c r="AV1179">
        <v>714</v>
      </c>
      <c r="AW1179" s="4">
        <v>42797</v>
      </c>
      <c r="BD1179">
        <v>55</v>
      </c>
      <c r="BN1179" t="s">
        <v>74</v>
      </c>
    </row>
    <row r="1180" spans="1:66">
      <c r="A1180">
        <v>101541</v>
      </c>
      <c r="B1180" t="s">
        <v>292</v>
      </c>
      <c r="C1180" s="1">
        <v>43300101</v>
      </c>
      <c r="D1180" t="s">
        <v>67</v>
      </c>
      <c r="H1180" t="str">
        <f t="shared" si="153"/>
        <v>08230471008</v>
      </c>
      <c r="I1180" t="str">
        <f t="shared" si="153"/>
        <v>08230471008</v>
      </c>
      <c r="K1180" t="str">
        <f>""</f>
        <v/>
      </c>
      <c r="M1180" t="s">
        <v>68</v>
      </c>
      <c r="N1180" t="str">
        <f t="shared" si="152"/>
        <v>FOR</v>
      </c>
      <c r="O1180" t="s">
        <v>69</v>
      </c>
      <c r="P1180" t="s">
        <v>75</v>
      </c>
      <c r="Q1180">
        <v>2016</v>
      </c>
      <c r="R1180" s="4">
        <v>42517</v>
      </c>
      <c r="S1180" s="2">
        <v>42529</v>
      </c>
      <c r="T1180" s="2">
        <v>42524</v>
      </c>
      <c r="U1180" s="4">
        <v>42584</v>
      </c>
      <c r="V1180" t="s">
        <v>71</v>
      </c>
      <c r="W1180" t="str">
        <f>"               55260"</f>
        <v xml:space="preserve">               55260</v>
      </c>
      <c r="X1180">
        <v>305</v>
      </c>
      <c r="Y1180">
        <v>0</v>
      </c>
      <c r="Z1180" s="5">
        <v>250</v>
      </c>
      <c r="AA1180" s="3">
        <v>213</v>
      </c>
      <c r="AB1180" s="5">
        <v>53250</v>
      </c>
      <c r="AC1180">
        <v>250</v>
      </c>
      <c r="AD1180">
        <v>213</v>
      </c>
      <c r="AE1180" s="1">
        <v>53250</v>
      </c>
      <c r="AF1180">
        <v>55</v>
      </c>
      <c r="AJ1180">
        <v>0</v>
      </c>
      <c r="AK1180">
        <v>0</v>
      </c>
      <c r="AL1180">
        <v>0</v>
      </c>
      <c r="AM1180">
        <v>0</v>
      </c>
      <c r="AN1180">
        <v>0</v>
      </c>
      <c r="AO1180">
        <v>0</v>
      </c>
      <c r="AP1180" s="2">
        <v>42831</v>
      </c>
      <c r="AQ1180" t="s">
        <v>72</v>
      </c>
      <c r="AR1180" t="s">
        <v>72</v>
      </c>
      <c r="AS1180">
        <v>714</v>
      </c>
      <c r="AT1180" s="4">
        <v>42797</v>
      </c>
      <c r="AU1180" t="s">
        <v>73</v>
      </c>
      <c r="AV1180">
        <v>714</v>
      </c>
      <c r="AW1180" s="4">
        <v>42797</v>
      </c>
      <c r="BD1180">
        <v>55</v>
      </c>
      <c r="BN1180" t="s">
        <v>74</v>
      </c>
    </row>
    <row r="1181" spans="1:66">
      <c r="A1181">
        <v>101541</v>
      </c>
      <c r="B1181" t="s">
        <v>292</v>
      </c>
      <c r="C1181" s="1">
        <v>43300101</v>
      </c>
      <c r="D1181" t="s">
        <v>67</v>
      </c>
      <c r="H1181" t="str">
        <f t="shared" si="153"/>
        <v>08230471008</v>
      </c>
      <c r="I1181" t="str">
        <f t="shared" si="153"/>
        <v>08230471008</v>
      </c>
      <c r="K1181" t="str">
        <f>""</f>
        <v/>
      </c>
      <c r="M1181" t="s">
        <v>68</v>
      </c>
      <c r="N1181" t="str">
        <f t="shared" si="152"/>
        <v>FOR</v>
      </c>
      <c r="O1181" t="s">
        <v>69</v>
      </c>
      <c r="P1181" t="s">
        <v>75</v>
      </c>
      <c r="Q1181">
        <v>2016</v>
      </c>
      <c r="R1181" s="4">
        <v>42517</v>
      </c>
      <c r="S1181" s="2">
        <v>42529</v>
      </c>
      <c r="T1181" s="2">
        <v>42524</v>
      </c>
      <c r="U1181" s="4">
        <v>42584</v>
      </c>
      <c r="V1181" t="s">
        <v>71</v>
      </c>
      <c r="W1181" t="str">
        <f>"               55261"</f>
        <v xml:space="preserve">               55261</v>
      </c>
      <c r="X1181">
        <v>305</v>
      </c>
      <c r="Y1181">
        <v>0</v>
      </c>
      <c r="Z1181" s="5">
        <v>250</v>
      </c>
      <c r="AA1181" s="3">
        <v>213</v>
      </c>
      <c r="AB1181" s="5">
        <v>53250</v>
      </c>
      <c r="AC1181">
        <v>250</v>
      </c>
      <c r="AD1181">
        <v>213</v>
      </c>
      <c r="AE1181" s="1">
        <v>53250</v>
      </c>
      <c r="AF1181">
        <v>55</v>
      </c>
      <c r="AJ1181">
        <v>0</v>
      </c>
      <c r="AK1181">
        <v>0</v>
      </c>
      <c r="AL1181">
        <v>0</v>
      </c>
      <c r="AM1181">
        <v>0</v>
      </c>
      <c r="AN1181">
        <v>0</v>
      </c>
      <c r="AO1181">
        <v>0</v>
      </c>
      <c r="AP1181" s="2">
        <v>42831</v>
      </c>
      <c r="AQ1181" t="s">
        <v>72</v>
      </c>
      <c r="AR1181" t="s">
        <v>72</v>
      </c>
      <c r="AS1181">
        <v>714</v>
      </c>
      <c r="AT1181" s="4">
        <v>42797</v>
      </c>
      <c r="AU1181" t="s">
        <v>73</v>
      </c>
      <c r="AV1181">
        <v>714</v>
      </c>
      <c r="AW1181" s="4">
        <v>42797</v>
      </c>
      <c r="BD1181">
        <v>55</v>
      </c>
      <c r="BN1181" t="s">
        <v>74</v>
      </c>
    </row>
    <row r="1182" spans="1:66">
      <c r="A1182">
        <v>101541</v>
      </c>
      <c r="B1182" t="s">
        <v>292</v>
      </c>
      <c r="C1182" s="1">
        <v>43300101</v>
      </c>
      <c r="D1182" t="s">
        <v>67</v>
      </c>
      <c r="H1182" t="str">
        <f t="shared" si="153"/>
        <v>08230471008</v>
      </c>
      <c r="I1182" t="str">
        <f t="shared" si="153"/>
        <v>08230471008</v>
      </c>
      <c r="K1182" t="str">
        <f>""</f>
        <v/>
      </c>
      <c r="M1182" t="s">
        <v>68</v>
      </c>
      <c r="N1182" t="str">
        <f t="shared" si="152"/>
        <v>FOR</v>
      </c>
      <c r="O1182" t="s">
        <v>69</v>
      </c>
      <c r="P1182" t="s">
        <v>75</v>
      </c>
      <c r="Q1182">
        <v>2016</v>
      </c>
      <c r="R1182" s="4">
        <v>42517</v>
      </c>
      <c r="S1182" s="2">
        <v>42529</v>
      </c>
      <c r="T1182" s="2">
        <v>42524</v>
      </c>
      <c r="U1182" s="4">
        <v>42584</v>
      </c>
      <c r="V1182" t="s">
        <v>71</v>
      </c>
      <c r="W1182" t="str">
        <f>"               55262"</f>
        <v xml:space="preserve">               55262</v>
      </c>
      <c r="X1182">
        <v>305</v>
      </c>
      <c r="Y1182">
        <v>0</v>
      </c>
      <c r="Z1182" s="5">
        <v>250</v>
      </c>
      <c r="AA1182" s="3">
        <v>213</v>
      </c>
      <c r="AB1182" s="5">
        <v>53250</v>
      </c>
      <c r="AC1182">
        <v>250</v>
      </c>
      <c r="AD1182">
        <v>213</v>
      </c>
      <c r="AE1182" s="1">
        <v>53250</v>
      </c>
      <c r="AF1182">
        <v>55</v>
      </c>
      <c r="AJ1182">
        <v>0</v>
      </c>
      <c r="AK1182">
        <v>0</v>
      </c>
      <c r="AL1182">
        <v>0</v>
      </c>
      <c r="AM1182">
        <v>0</v>
      </c>
      <c r="AN1182">
        <v>0</v>
      </c>
      <c r="AO1182">
        <v>0</v>
      </c>
      <c r="AP1182" s="2">
        <v>42831</v>
      </c>
      <c r="AQ1182" t="s">
        <v>72</v>
      </c>
      <c r="AR1182" t="s">
        <v>72</v>
      </c>
      <c r="AS1182">
        <v>714</v>
      </c>
      <c r="AT1182" s="4">
        <v>42797</v>
      </c>
      <c r="AU1182" t="s">
        <v>73</v>
      </c>
      <c r="AV1182">
        <v>714</v>
      </c>
      <c r="AW1182" s="4">
        <v>42797</v>
      </c>
      <c r="BD1182">
        <v>55</v>
      </c>
      <c r="BN1182" t="s">
        <v>74</v>
      </c>
    </row>
    <row r="1183" spans="1:66">
      <c r="A1183">
        <v>101541</v>
      </c>
      <c r="B1183" t="s">
        <v>292</v>
      </c>
      <c r="C1183" s="1">
        <v>43300101</v>
      </c>
      <c r="D1183" t="s">
        <v>67</v>
      </c>
      <c r="H1183" t="str">
        <f t="shared" si="153"/>
        <v>08230471008</v>
      </c>
      <c r="I1183" t="str">
        <f t="shared" si="153"/>
        <v>08230471008</v>
      </c>
      <c r="K1183" t="str">
        <f>""</f>
        <v/>
      </c>
      <c r="M1183" t="s">
        <v>68</v>
      </c>
      <c r="N1183" t="str">
        <f t="shared" si="152"/>
        <v>FOR</v>
      </c>
      <c r="O1183" t="s">
        <v>69</v>
      </c>
      <c r="P1183" t="s">
        <v>75</v>
      </c>
      <c r="Q1183">
        <v>2016</v>
      </c>
      <c r="R1183" s="4">
        <v>42521</v>
      </c>
      <c r="S1183" s="2">
        <v>42534</v>
      </c>
      <c r="T1183" s="2">
        <v>42531</v>
      </c>
      <c r="U1183" s="4">
        <v>42591</v>
      </c>
      <c r="V1183" t="s">
        <v>71</v>
      </c>
      <c r="W1183" t="str">
        <f>"               55690"</f>
        <v xml:space="preserve">               55690</v>
      </c>
      <c r="X1183">
        <v>305</v>
      </c>
      <c r="Y1183">
        <v>0</v>
      </c>
      <c r="Z1183" s="5">
        <v>250</v>
      </c>
      <c r="AA1183" s="3">
        <v>206</v>
      </c>
      <c r="AB1183" s="5">
        <v>51500</v>
      </c>
      <c r="AC1183">
        <v>250</v>
      </c>
      <c r="AD1183">
        <v>206</v>
      </c>
      <c r="AE1183" s="1">
        <v>51500</v>
      </c>
      <c r="AF1183">
        <v>55</v>
      </c>
      <c r="AJ1183">
        <v>0</v>
      </c>
      <c r="AK1183">
        <v>0</v>
      </c>
      <c r="AL1183">
        <v>0</v>
      </c>
      <c r="AM1183">
        <v>0</v>
      </c>
      <c r="AN1183">
        <v>0</v>
      </c>
      <c r="AO1183">
        <v>0</v>
      </c>
      <c r="AP1183" s="2">
        <v>42831</v>
      </c>
      <c r="AQ1183" t="s">
        <v>72</v>
      </c>
      <c r="AR1183" t="s">
        <v>72</v>
      </c>
      <c r="AS1183">
        <v>714</v>
      </c>
      <c r="AT1183" s="4">
        <v>42797</v>
      </c>
      <c r="AU1183" t="s">
        <v>73</v>
      </c>
      <c r="AV1183">
        <v>714</v>
      </c>
      <c r="AW1183" s="4">
        <v>42797</v>
      </c>
      <c r="BD1183">
        <v>55</v>
      </c>
      <c r="BN1183" t="s">
        <v>74</v>
      </c>
    </row>
    <row r="1184" spans="1:66">
      <c r="A1184">
        <v>101541</v>
      </c>
      <c r="B1184" t="s">
        <v>292</v>
      </c>
      <c r="C1184" s="1">
        <v>43300101</v>
      </c>
      <c r="D1184" t="s">
        <v>67</v>
      </c>
      <c r="H1184" t="str">
        <f t="shared" si="153"/>
        <v>08230471008</v>
      </c>
      <c r="I1184" t="str">
        <f t="shared" si="153"/>
        <v>08230471008</v>
      </c>
      <c r="K1184" t="str">
        <f>""</f>
        <v/>
      </c>
      <c r="M1184" t="s">
        <v>68</v>
      </c>
      <c r="N1184" t="str">
        <f t="shared" si="152"/>
        <v>FOR</v>
      </c>
      <c r="O1184" t="s">
        <v>69</v>
      </c>
      <c r="P1184" t="s">
        <v>75</v>
      </c>
      <c r="Q1184">
        <v>2016</v>
      </c>
      <c r="R1184" s="4">
        <v>42521</v>
      </c>
      <c r="S1184" s="2">
        <v>42534</v>
      </c>
      <c r="T1184" s="2">
        <v>42531</v>
      </c>
      <c r="U1184" s="4">
        <v>42591</v>
      </c>
      <c r="V1184" t="s">
        <v>71</v>
      </c>
      <c r="W1184" t="str">
        <f>"               55691"</f>
        <v xml:space="preserve">               55691</v>
      </c>
      <c r="X1184">
        <v>305</v>
      </c>
      <c r="Y1184">
        <v>0</v>
      </c>
      <c r="Z1184" s="5">
        <v>250</v>
      </c>
      <c r="AA1184" s="3">
        <v>206</v>
      </c>
      <c r="AB1184" s="5">
        <v>51500</v>
      </c>
      <c r="AC1184">
        <v>250</v>
      </c>
      <c r="AD1184">
        <v>206</v>
      </c>
      <c r="AE1184" s="1">
        <v>51500</v>
      </c>
      <c r="AF1184">
        <v>55</v>
      </c>
      <c r="AJ1184">
        <v>0</v>
      </c>
      <c r="AK1184">
        <v>0</v>
      </c>
      <c r="AL1184">
        <v>0</v>
      </c>
      <c r="AM1184">
        <v>0</v>
      </c>
      <c r="AN1184">
        <v>0</v>
      </c>
      <c r="AO1184">
        <v>0</v>
      </c>
      <c r="AP1184" s="2">
        <v>42831</v>
      </c>
      <c r="AQ1184" t="s">
        <v>72</v>
      </c>
      <c r="AR1184" t="s">
        <v>72</v>
      </c>
      <c r="AS1184">
        <v>714</v>
      </c>
      <c r="AT1184" s="4">
        <v>42797</v>
      </c>
      <c r="AU1184" t="s">
        <v>73</v>
      </c>
      <c r="AV1184">
        <v>714</v>
      </c>
      <c r="AW1184" s="4">
        <v>42797</v>
      </c>
      <c r="BD1184">
        <v>55</v>
      </c>
      <c r="BN1184" t="s">
        <v>74</v>
      </c>
    </row>
    <row r="1185" spans="1:66">
      <c r="A1185">
        <v>101541</v>
      </c>
      <c r="B1185" t="s">
        <v>292</v>
      </c>
      <c r="C1185" s="1">
        <v>43300101</v>
      </c>
      <c r="D1185" t="s">
        <v>67</v>
      </c>
      <c r="H1185" t="str">
        <f t="shared" si="153"/>
        <v>08230471008</v>
      </c>
      <c r="I1185" t="str">
        <f t="shared" si="153"/>
        <v>08230471008</v>
      </c>
      <c r="K1185" t="str">
        <f>""</f>
        <v/>
      </c>
      <c r="M1185" t="s">
        <v>68</v>
      </c>
      <c r="N1185" t="str">
        <f t="shared" si="152"/>
        <v>FOR</v>
      </c>
      <c r="O1185" t="s">
        <v>69</v>
      </c>
      <c r="P1185" t="s">
        <v>75</v>
      </c>
      <c r="Q1185">
        <v>2016</v>
      </c>
      <c r="R1185" s="4">
        <v>42521</v>
      </c>
      <c r="S1185" s="2">
        <v>42534</v>
      </c>
      <c r="T1185" s="2">
        <v>42531</v>
      </c>
      <c r="U1185" s="4">
        <v>42591</v>
      </c>
      <c r="V1185" t="s">
        <v>71</v>
      </c>
      <c r="W1185" t="str">
        <f>"               55692"</f>
        <v xml:space="preserve">               55692</v>
      </c>
      <c r="X1185">
        <v>305</v>
      </c>
      <c r="Y1185">
        <v>0</v>
      </c>
      <c r="Z1185" s="5">
        <v>250</v>
      </c>
      <c r="AA1185" s="3">
        <v>206</v>
      </c>
      <c r="AB1185" s="5">
        <v>51500</v>
      </c>
      <c r="AC1185">
        <v>250</v>
      </c>
      <c r="AD1185">
        <v>206</v>
      </c>
      <c r="AE1185" s="1">
        <v>51500</v>
      </c>
      <c r="AF1185">
        <v>55</v>
      </c>
      <c r="AJ1185">
        <v>0</v>
      </c>
      <c r="AK1185">
        <v>0</v>
      </c>
      <c r="AL1185">
        <v>0</v>
      </c>
      <c r="AM1185">
        <v>0</v>
      </c>
      <c r="AN1185">
        <v>0</v>
      </c>
      <c r="AO1185">
        <v>0</v>
      </c>
      <c r="AP1185" s="2">
        <v>42831</v>
      </c>
      <c r="AQ1185" t="s">
        <v>72</v>
      </c>
      <c r="AR1185" t="s">
        <v>72</v>
      </c>
      <c r="AS1185">
        <v>714</v>
      </c>
      <c r="AT1185" s="4">
        <v>42797</v>
      </c>
      <c r="AU1185" t="s">
        <v>73</v>
      </c>
      <c r="AV1185">
        <v>714</v>
      </c>
      <c r="AW1185" s="4">
        <v>42797</v>
      </c>
      <c r="BD1185">
        <v>55</v>
      </c>
      <c r="BN1185" t="s">
        <v>74</v>
      </c>
    </row>
    <row r="1186" spans="1:66">
      <c r="A1186">
        <v>101541</v>
      </c>
      <c r="B1186" t="s">
        <v>292</v>
      </c>
      <c r="C1186" s="1">
        <v>43300101</v>
      </c>
      <c r="D1186" t="s">
        <v>67</v>
      </c>
      <c r="H1186" t="str">
        <f t="shared" si="153"/>
        <v>08230471008</v>
      </c>
      <c r="I1186" t="str">
        <f t="shared" si="153"/>
        <v>08230471008</v>
      </c>
      <c r="K1186" t="str">
        <f>""</f>
        <v/>
      </c>
      <c r="M1186" t="s">
        <v>68</v>
      </c>
      <c r="N1186" t="str">
        <f t="shared" si="152"/>
        <v>FOR</v>
      </c>
      <c r="O1186" t="s">
        <v>69</v>
      </c>
      <c r="P1186" t="s">
        <v>75</v>
      </c>
      <c r="Q1186">
        <v>2016</v>
      </c>
      <c r="R1186" s="4">
        <v>42521</v>
      </c>
      <c r="S1186" s="2">
        <v>42534</v>
      </c>
      <c r="T1186" s="2">
        <v>42531</v>
      </c>
      <c r="U1186" s="4">
        <v>42591</v>
      </c>
      <c r="V1186" t="s">
        <v>71</v>
      </c>
      <c r="W1186" t="str">
        <f>"               55693"</f>
        <v xml:space="preserve">               55693</v>
      </c>
      <c r="X1186">
        <v>305</v>
      </c>
      <c r="Y1186">
        <v>0</v>
      </c>
      <c r="Z1186" s="5">
        <v>250</v>
      </c>
      <c r="AA1186" s="3">
        <v>206</v>
      </c>
      <c r="AB1186" s="5">
        <v>51500</v>
      </c>
      <c r="AC1186">
        <v>250</v>
      </c>
      <c r="AD1186">
        <v>206</v>
      </c>
      <c r="AE1186" s="1">
        <v>51500</v>
      </c>
      <c r="AF1186">
        <v>55</v>
      </c>
      <c r="AJ1186">
        <v>0</v>
      </c>
      <c r="AK1186">
        <v>0</v>
      </c>
      <c r="AL1186">
        <v>0</v>
      </c>
      <c r="AM1186">
        <v>0</v>
      </c>
      <c r="AN1186">
        <v>0</v>
      </c>
      <c r="AO1186">
        <v>0</v>
      </c>
      <c r="AP1186" s="2">
        <v>42831</v>
      </c>
      <c r="AQ1186" t="s">
        <v>72</v>
      </c>
      <c r="AR1186" t="s">
        <v>72</v>
      </c>
      <c r="AS1186">
        <v>714</v>
      </c>
      <c r="AT1186" s="4">
        <v>42797</v>
      </c>
      <c r="AU1186" t="s">
        <v>73</v>
      </c>
      <c r="AV1186">
        <v>714</v>
      </c>
      <c r="AW1186" s="4">
        <v>42797</v>
      </c>
      <c r="BD1186">
        <v>55</v>
      </c>
      <c r="BN1186" t="s">
        <v>74</v>
      </c>
    </row>
    <row r="1187" spans="1:66">
      <c r="A1187">
        <v>101541</v>
      </c>
      <c r="B1187" t="s">
        <v>292</v>
      </c>
      <c r="C1187" s="1">
        <v>43300101</v>
      </c>
      <c r="D1187" t="s">
        <v>67</v>
      </c>
      <c r="H1187" t="str">
        <f t="shared" si="153"/>
        <v>08230471008</v>
      </c>
      <c r="I1187" t="str">
        <f t="shared" si="153"/>
        <v>08230471008</v>
      </c>
      <c r="K1187" t="str">
        <f>""</f>
        <v/>
      </c>
      <c r="M1187" t="s">
        <v>68</v>
      </c>
      <c r="N1187" t="str">
        <f t="shared" si="152"/>
        <v>FOR</v>
      </c>
      <c r="O1187" t="s">
        <v>69</v>
      </c>
      <c r="P1187" t="s">
        <v>75</v>
      </c>
      <c r="Q1187">
        <v>2016</v>
      </c>
      <c r="R1187" s="4">
        <v>42521</v>
      </c>
      <c r="S1187" s="2">
        <v>42534</v>
      </c>
      <c r="T1187" s="2">
        <v>42531</v>
      </c>
      <c r="U1187" s="4">
        <v>42591</v>
      </c>
      <c r="V1187" t="s">
        <v>71</v>
      </c>
      <c r="W1187" t="str">
        <f>"               55694"</f>
        <v xml:space="preserve">               55694</v>
      </c>
      <c r="X1187">
        <v>305</v>
      </c>
      <c r="Y1187">
        <v>0</v>
      </c>
      <c r="Z1187" s="5">
        <v>250</v>
      </c>
      <c r="AA1187" s="3">
        <v>206</v>
      </c>
      <c r="AB1187" s="5">
        <v>51500</v>
      </c>
      <c r="AC1187">
        <v>250</v>
      </c>
      <c r="AD1187">
        <v>206</v>
      </c>
      <c r="AE1187" s="1">
        <v>51500</v>
      </c>
      <c r="AF1187">
        <v>55</v>
      </c>
      <c r="AJ1187">
        <v>0</v>
      </c>
      <c r="AK1187">
        <v>0</v>
      </c>
      <c r="AL1187">
        <v>0</v>
      </c>
      <c r="AM1187">
        <v>0</v>
      </c>
      <c r="AN1187">
        <v>0</v>
      </c>
      <c r="AO1187">
        <v>0</v>
      </c>
      <c r="AP1187" s="2">
        <v>42831</v>
      </c>
      <c r="AQ1187" t="s">
        <v>72</v>
      </c>
      <c r="AR1187" t="s">
        <v>72</v>
      </c>
      <c r="AS1187">
        <v>714</v>
      </c>
      <c r="AT1187" s="4">
        <v>42797</v>
      </c>
      <c r="AU1187" t="s">
        <v>73</v>
      </c>
      <c r="AV1187">
        <v>714</v>
      </c>
      <c r="AW1187" s="4">
        <v>42797</v>
      </c>
      <c r="BD1187">
        <v>55</v>
      </c>
      <c r="BN1187" t="s">
        <v>74</v>
      </c>
    </row>
    <row r="1188" spans="1:66">
      <c r="A1188">
        <v>101541</v>
      </c>
      <c r="B1188" t="s">
        <v>292</v>
      </c>
      <c r="C1188" s="1">
        <v>43300101</v>
      </c>
      <c r="D1188" t="s">
        <v>67</v>
      </c>
      <c r="H1188" t="str">
        <f t="shared" si="153"/>
        <v>08230471008</v>
      </c>
      <c r="I1188" t="str">
        <f t="shared" si="153"/>
        <v>08230471008</v>
      </c>
      <c r="K1188" t="str">
        <f>""</f>
        <v/>
      </c>
      <c r="M1188" t="s">
        <v>68</v>
      </c>
      <c r="N1188" t="str">
        <f t="shared" si="152"/>
        <v>FOR</v>
      </c>
      <c r="O1188" t="s">
        <v>69</v>
      </c>
      <c r="P1188" t="s">
        <v>75</v>
      </c>
      <c r="Q1188">
        <v>2016</v>
      </c>
      <c r="R1188" s="4">
        <v>42521</v>
      </c>
      <c r="S1188" s="2">
        <v>42534</v>
      </c>
      <c r="T1188" s="2">
        <v>42531</v>
      </c>
      <c r="U1188" s="4">
        <v>42591</v>
      </c>
      <c r="V1188" t="s">
        <v>71</v>
      </c>
      <c r="W1188" t="str">
        <f>"               55695"</f>
        <v xml:space="preserve">               55695</v>
      </c>
      <c r="X1188">
        <v>305</v>
      </c>
      <c r="Y1188">
        <v>0</v>
      </c>
      <c r="Z1188" s="5">
        <v>250</v>
      </c>
      <c r="AA1188" s="3">
        <v>206</v>
      </c>
      <c r="AB1188" s="5">
        <v>51500</v>
      </c>
      <c r="AC1188">
        <v>250</v>
      </c>
      <c r="AD1188">
        <v>206</v>
      </c>
      <c r="AE1188" s="1">
        <v>51500</v>
      </c>
      <c r="AF1188">
        <v>55</v>
      </c>
      <c r="AJ1188">
        <v>0</v>
      </c>
      <c r="AK1188">
        <v>0</v>
      </c>
      <c r="AL1188">
        <v>0</v>
      </c>
      <c r="AM1188">
        <v>0</v>
      </c>
      <c r="AN1188">
        <v>0</v>
      </c>
      <c r="AO1188">
        <v>0</v>
      </c>
      <c r="AP1188" s="2">
        <v>42831</v>
      </c>
      <c r="AQ1188" t="s">
        <v>72</v>
      </c>
      <c r="AR1188" t="s">
        <v>72</v>
      </c>
      <c r="AS1188">
        <v>714</v>
      </c>
      <c r="AT1188" s="4">
        <v>42797</v>
      </c>
      <c r="AU1188" t="s">
        <v>73</v>
      </c>
      <c r="AV1188">
        <v>714</v>
      </c>
      <c r="AW1188" s="4">
        <v>42797</v>
      </c>
      <c r="BD1188">
        <v>55</v>
      </c>
      <c r="BN1188" t="s">
        <v>74</v>
      </c>
    </row>
    <row r="1189" spans="1:66">
      <c r="A1189">
        <v>101541</v>
      </c>
      <c r="B1189" t="s">
        <v>292</v>
      </c>
      <c r="C1189" s="1">
        <v>43300101</v>
      </c>
      <c r="D1189" t="s">
        <v>67</v>
      </c>
      <c r="H1189" t="str">
        <f t="shared" si="153"/>
        <v>08230471008</v>
      </c>
      <c r="I1189" t="str">
        <f t="shared" si="153"/>
        <v>08230471008</v>
      </c>
      <c r="K1189" t="str">
        <f>""</f>
        <v/>
      </c>
      <c r="M1189" t="s">
        <v>68</v>
      </c>
      <c r="N1189" t="str">
        <f t="shared" si="152"/>
        <v>FOR</v>
      </c>
      <c r="O1189" t="s">
        <v>69</v>
      </c>
      <c r="P1189" t="s">
        <v>75</v>
      </c>
      <c r="Q1189">
        <v>2016</v>
      </c>
      <c r="R1189" s="4">
        <v>42521</v>
      </c>
      <c r="S1189" s="2">
        <v>42534</v>
      </c>
      <c r="T1189" s="2">
        <v>42531</v>
      </c>
      <c r="U1189" s="4">
        <v>42591</v>
      </c>
      <c r="V1189" t="s">
        <v>71</v>
      </c>
      <c r="W1189" t="str">
        <f>"               55696"</f>
        <v xml:space="preserve">               55696</v>
      </c>
      <c r="X1189">
        <v>305</v>
      </c>
      <c r="Y1189">
        <v>0</v>
      </c>
      <c r="Z1189" s="5">
        <v>250</v>
      </c>
      <c r="AA1189" s="3">
        <v>206</v>
      </c>
      <c r="AB1189" s="5">
        <v>51500</v>
      </c>
      <c r="AC1189">
        <v>250</v>
      </c>
      <c r="AD1189">
        <v>206</v>
      </c>
      <c r="AE1189" s="1">
        <v>51500</v>
      </c>
      <c r="AF1189">
        <v>55</v>
      </c>
      <c r="AJ1189">
        <v>0</v>
      </c>
      <c r="AK1189">
        <v>0</v>
      </c>
      <c r="AL1189">
        <v>0</v>
      </c>
      <c r="AM1189">
        <v>0</v>
      </c>
      <c r="AN1189">
        <v>0</v>
      </c>
      <c r="AO1189">
        <v>0</v>
      </c>
      <c r="AP1189" s="2">
        <v>42831</v>
      </c>
      <c r="AQ1189" t="s">
        <v>72</v>
      </c>
      <c r="AR1189" t="s">
        <v>72</v>
      </c>
      <c r="AS1189">
        <v>714</v>
      </c>
      <c r="AT1189" s="4">
        <v>42797</v>
      </c>
      <c r="AU1189" t="s">
        <v>73</v>
      </c>
      <c r="AV1189">
        <v>714</v>
      </c>
      <c r="AW1189" s="4">
        <v>42797</v>
      </c>
      <c r="BD1189">
        <v>55</v>
      </c>
      <c r="BN1189" t="s">
        <v>74</v>
      </c>
    </row>
    <row r="1190" spans="1:66">
      <c r="A1190">
        <v>101541</v>
      </c>
      <c r="B1190" t="s">
        <v>292</v>
      </c>
      <c r="C1190" s="1">
        <v>43300101</v>
      </c>
      <c r="D1190" t="s">
        <v>67</v>
      </c>
      <c r="H1190" t="str">
        <f t="shared" si="153"/>
        <v>08230471008</v>
      </c>
      <c r="I1190" t="str">
        <f t="shared" si="153"/>
        <v>08230471008</v>
      </c>
      <c r="K1190" t="str">
        <f>""</f>
        <v/>
      </c>
      <c r="M1190" t="s">
        <v>68</v>
      </c>
      <c r="N1190" t="str">
        <f t="shared" si="152"/>
        <v>FOR</v>
      </c>
      <c r="O1190" t="s">
        <v>69</v>
      </c>
      <c r="P1190" t="s">
        <v>75</v>
      </c>
      <c r="Q1190">
        <v>2016</v>
      </c>
      <c r="R1190" s="4">
        <v>42521</v>
      </c>
      <c r="S1190" s="2">
        <v>42534</v>
      </c>
      <c r="T1190" s="2">
        <v>42531</v>
      </c>
      <c r="U1190" s="4">
        <v>42591</v>
      </c>
      <c r="V1190" t="s">
        <v>71</v>
      </c>
      <c r="W1190" t="str">
        <f>"               55697"</f>
        <v xml:space="preserve">               55697</v>
      </c>
      <c r="X1190">
        <v>305</v>
      </c>
      <c r="Y1190">
        <v>0</v>
      </c>
      <c r="Z1190" s="5">
        <v>250</v>
      </c>
      <c r="AA1190" s="3">
        <v>206</v>
      </c>
      <c r="AB1190" s="5">
        <v>51500</v>
      </c>
      <c r="AC1190">
        <v>250</v>
      </c>
      <c r="AD1190">
        <v>206</v>
      </c>
      <c r="AE1190" s="1">
        <v>51500</v>
      </c>
      <c r="AF1190">
        <v>55</v>
      </c>
      <c r="AJ1190">
        <v>0</v>
      </c>
      <c r="AK1190">
        <v>0</v>
      </c>
      <c r="AL1190">
        <v>0</v>
      </c>
      <c r="AM1190">
        <v>0</v>
      </c>
      <c r="AN1190">
        <v>0</v>
      </c>
      <c r="AO1190">
        <v>0</v>
      </c>
      <c r="AP1190" s="2">
        <v>42831</v>
      </c>
      <c r="AQ1190" t="s">
        <v>72</v>
      </c>
      <c r="AR1190" t="s">
        <v>72</v>
      </c>
      <c r="AS1190">
        <v>714</v>
      </c>
      <c r="AT1190" s="4">
        <v>42797</v>
      </c>
      <c r="AU1190" t="s">
        <v>73</v>
      </c>
      <c r="AV1190">
        <v>714</v>
      </c>
      <c r="AW1190" s="4">
        <v>42797</v>
      </c>
      <c r="BD1190">
        <v>55</v>
      </c>
      <c r="BN1190" t="s">
        <v>74</v>
      </c>
    </row>
    <row r="1191" spans="1:66">
      <c r="A1191">
        <v>101541</v>
      </c>
      <c r="B1191" t="s">
        <v>292</v>
      </c>
      <c r="C1191" s="1">
        <v>43300101</v>
      </c>
      <c r="D1191" t="s">
        <v>67</v>
      </c>
      <c r="H1191" t="str">
        <f t="shared" si="153"/>
        <v>08230471008</v>
      </c>
      <c r="I1191" t="str">
        <f t="shared" si="153"/>
        <v>08230471008</v>
      </c>
      <c r="K1191" t="str">
        <f>""</f>
        <v/>
      </c>
      <c r="M1191" t="s">
        <v>68</v>
      </c>
      <c r="N1191" t="str">
        <f t="shared" si="152"/>
        <v>FOR</v>
      </c>
      <c r="O1191" t="s">
        <v>69</v>
      </c>
      <c r="P1191" t="s">
        <v>75</v>
      </c>
      <c r="Q1191">
        <v>2016</v>
      </c>
      <c r="R1191" s="4">
        <v>42521</v>
      </c>
      <c r="S1191" s="2">
        <v>42534</v>
      </c>
      <c r="T1191" s="2">
        <v>42531</v>
      </c>
      <c r="U1191" s="4">
        <v>42591</v>
      </c>
      <c r="V1191" t="s">
        <v>71</v>
      </c>
      <c r="W1191" t="str">
        <f>"               55698"</f>
        <v xml:space="preserve">               55698</v>
      </c>
      <c r="X1191">
        <v>305</v>
      </c>
      <c r="Y1191">
        <v>0</v>
      </c>
      <c r="Z1191" s="5">
        <v>250</v>
      </c>
      <c r="AA1191" s="3">
        <v>206</v>
      </c>
      <c r="AB1191" s="5">
        <v>51500</v>
      </c>
      <c r="AC1191">
        <v>250</v>
      </c>
      <c r="AD1191">
        <v>206</v>
      </c>
      <c r="AE1191" s="1">
        <v>51500</v>
      </c>
      <c r="AF1191">
        <v>55</v>
      </c>
      <c r="AJ1191">
        <v>0</v>
      </c>
      <c r="AK1191">
        <v>0</v>
      </c>
      <c r="AL1191">
        <v>0</v>
      </c>
      <c r="AM1191">
        <v>0</v>
      </c>
      <c r="AN1191">
        <v>0</v>
      </c>
      <c r="AO1191">
        <v>0</v>
      </c>
      <c r="AP1191" s="2">
        <v>42831</v>
      </c>
      <c r="AQ1191" t="s">
        <v>72</v>
      </c>
      <c r="AR1191" t="s">
        <v>72</v>
      </c>
      <c r="AS1191">
        <v>714</v>
      </c>
      <c r="AT1191" s="4">
        <v>42797</v>
      </c>
      <c r="AU1191" t="s">
        <v>73</v>
      </c>
      <c r="AV1191">
        <v>714</v>
      </c>
      <c r="AW1191" s="4">
        <v>42797</v>
      </c>
      <c r="BD1191">
        <v>55</v>
      </c>
      <c r="BN1191" t="s">
        <v>74</v>
      </c>
    </row>
    <row r="1192" spans="1:66">
      <c r="A1192">
        <v>101541</v>
      </c>
      <c r="B1192" t="s">
        <v>292</v>
      </c>
      <c r="C1192" s="1">
        <v>43300101</v>
      </c>
      <c r="D1192" t="s">
        <v>67</v>
      </c>
      <c r="H1192" t="str">
        <f t="shared" si="153"/>
        <v>08230471008</v>
      </c>
      <c r="I1192" t="str">
        <f t="shared" si="153"/>
        <v>08230471008</v>
      </c>
      <c r="K1192" t="str">
        <f>""</f>
        <v/>
      </c>
      <c r="M1192" t="s">
        <v>68</v>
      </c>
      <c r="N1192" t="str">
        <f t="shared" si="152"/>
        <v>FOR</v>
      </c>
      <c r="O1192" t="s">
        <v>69</v>
      </c>
      <c r="P1192" t="s">
        <v>75</v>
      </c>
      <c r="Q1192">
        <v>2016</v>
      </c>
      <c r="R1192" s="4">
        <v>42521</v>
      </c>
      <c r="S1192" s="2">
        <v>42534</v>
      </c>
      <c r="T1192" s="2">
        <v>42531</v>
      </c>
      <c r="U1192" s="4">
        <v>42591</v>
      </c>
      <c r="V1192" t="s">
        <v>71</v>
      </c>
      <c r="W1192" t="str">
        <f>"               55699"</f>
        <v xml:space="preserve">               55699</v>
      </c>
      <c r="X1192">
        <v>305</v>
      </c>
      <c r="Y1192">
        <v>0</v>
      </c>
      <c r="Z1192" s="5">
        <v>250</v>
      </c>
      <c r="AA1192" s="3">
        <v>206</v>
      </c>
      <c r="AB1192" s="5">
        <v>51500</v>
      </c>
      <c r="AC1192">
        <v>250</v>
      </c>
      <c r="AD1192">
        <v>206</v>
      </c>
      <c r="AE1192" s="1">
        <v>51500</v>
      </c>
      <c r="AF1192">
        <v>55</v>
      </c>
      <c r="AJ1192">
        <v>0</v>
      </c>
      <c r="AK1192">
        <v>0</v>
      </c>
      <c r="AL1192">
        <v>0</v>
      </c>
      <c r="AM1192">
        <v>0</v>
      </c>
      <c r="AN1192">
        <v>0</v>
      </c>
      <c r="AO1192">
        <v>0</v>
      </c>
      <c r="AP1192" s="2">
        <v>42831</v>
      </c>
      <c r="AQ1192" t="s">
        <v>72</v>
      </c>
      <c r="AR1192" t="s">
        <v>72</v>
      </c>
      <c r="AS1192">
        <v>714</v>
      </c>
      <c r="AT1192" s="4">
        <v>42797</v>
      </c>
      <c r="AU1192" t="s">
        <v>73</v>
      </c>
      <c r="AV1192">
        <v>714</v>
      </c>
      <c r="AW1192" s="4">
        <v>42797</v>
      </c>
      <c r="BD1192">
        <v>55</v>
      </c>
      <c r="BN1192" t="s">
        <v>74</v>
      </c>
    </row>
    <row r="1193" spans="1:66" hidden="1">
      <c r="A1193">
        <v>101555</v>
      </c>
      <c r="B1193" t="s">
        <v>293</v>
      </c>
      <c r="C1193" s="1">
        <v>43500101</v>
      </c>
      <c r="D1193" t="s">
        <v>98</v>
      </c>
      <c r="H1193" t="str">
        <f>"PCRDLF42L14A509G"</f>
        <v>PCRDLF42L14A509G</v>
      </c>
      <c r="I1193" t="str">
        <f>""</f>
        <v/>
      </c>
      <c r="K1193" t="str">
        <f>""</f>
        <v/>
      </c>
      <c r="M1193" t="s">
        <v>68</v>
      </c>
      <c r="N1193" t="str">
        <f>"ALT"</f>
        <v>ALT</v>
      </c>
      <c r="O1193" t="s">
        <v>99</v>
      </c>
      <c r="P1193" t="s">
        <v>82</v>
      </c>
      <c r="Q1193">
        <v>2017</v>
      </c>
      <c r="R1193" s="4">
        <v>42755</v>
      </c>
      <c r="S1193" s="2">
        <v>42755</v>
      </c>
      <c r="T1193" s="2">
        <v>42755</v>
      </c>
      <c r="U1193" s="4">
        <v>42815</v>
      </c>
      <c r="V1193" t="s">
        <v>71</v>
      </c>
      <c r="W1193" t="str">
        <f>"                0120"</f>
        <v xml:space="preserve">                0120</v>
      </c>
      <c r="X1193">
        <v>0</v>
      </c>
      <c r="Y1193">
        <v>180.75</v>
      </c>
      <c r="Z1193" s="3">
        <v>180.75</v>
      </c>
      <c r="AA1193" s="3">
        <v>-57</v>
      </c>
      <c r="AB1193" s="5">
        <v>-10302.75</v>
      </c>
      <c r="AC1193">
        <v>180.75</v>
      </c>
      <c r="AD1193">
        <v>-57</v>
      </c>
      <c r="AE1193" s="1">
        <v>-10302.75</v>
      </c>
      <c r="AF1193">
        <v>0</v>
      </c>
      <c r="AJ1193">
        <v>180.75</v>
      </c>
      <c r="AK1193">
        <v>180.75</v>
      </c>
      <c r="AL1193">
        <v>180.75</v>
      </c>
      <c r="AM1193">
        <v>180.75</v>
      </c>
      <c r="AN1193">
        <v>180.75</v>
      </c>
      <c r="AO1193">
        <v>180.75</v>
      </c>
      <c r="AP1193" s="2">
        <v>42831</v>
      </c>
      <c r="AQ1193" t="s">
        <v>72</v>
      </c>
      <c r="AR1193" t="s">
        <v>72</v>
      </c>
      <c r="AS1193">
        <v>58</v>
      </c>
      <c r="AT1193" s="4">
        <v>42758</v>
      </c>
      <c r="AV1193">
        <v>58</v>
      </c>
      <c r="AW1193" s="4">
        <v>42758</v>
      </c>
      <c r="BD1193">
        <v>0</v>
      </c>
      <c r="BN1193" t="s">
        <v>74</v>
      </c>
    </row>
    <row r="1194" spans="1:66" hidden="1">
      <c r="A1194">
        <v>101555</v>
      </c>
      <c r="B1194" t="s">
        <v>293</v>
      </c>
      <c r="C1194" s="1">
        <v>43500101</v>
      </c>
      <c r="D1194" t="s">
        <v>98</v>
      </c>
      <c r="H1194" t="str">
        <f>"PCRDLF42L14A509G"</f>
        <v>PCRDLF42L14A509G</v>
      </c>
      <c r="I1194" t="str">
        <f>""</f>
        <v/>
      </c>
      <c r="K1194" t="str">
        <f>""</f>
        <v/>
      </c>
      <c r="M1194" t="s">
        <v>68</v>
      </c>
      <c r="N1194" t="str">
        <f>"ALT"</f>
        <v>ALT</v>
      </c>
      <c r="O1194" t="s">
        <v>99</v>
      </c>
      <c r="P1194" t="s">
        <v>83</v>
      </c>
      <c r="Q1194">
        <v>2017</v>
      </c>
      <c r="R1194" s="4">
        <v>42786</v>
      </c>
      <c r="S1194" s="2">
        <v>42787</v>
      </c>
      <c r="T1194" s="2">
        <v>42787</v>
      </c>
      <c r="U1194" s="4">
        <v>42847</v>
      </c>
      <c r="V1194" t="s">
        <v>71</v>
      </c>
      <c r="W1194" t="str">
        <f>"                0220"</f>
        <v xml:space="preserve">                0220</v>
      </c>
      <c r="X1194">
        <v>0</v>
      </c>
      <c r="Y1194">
        <v>180.75</v>
      </c>
      <c r="Z1194" s="3">
        <v>180.75</v>
      </c>
      <c r="AA1194" s="3">
        <v>-60</v>
      </c>
      <c r="AB1194" s="5">
        <v>-10845</v>
      </c>
      <c r="AC1194">
        <v>180.75</v>
      </c>
      <c r="AD1194">
        <v>-60</v>
      </c>
      <c r="AE1194" s="1">
        <v>-10845</v>
      </c>
      <c r="AF1194">
        <v>0</v>
      </c>
      <c r="AJ1194">
        <v>180.75</v>
      </c>
      <c r="AK1194">
        <v>180.75</v>
      </c>
      <c r="AL1194">
        <v>180.75</v>
      </c>
      <c r="AM1194">
        <v>180.75</v>
      </c>
      <c r="AN1194">
        <v>180.75</v>
      </c>
      <c r="AO1194">
        <v>180.75</v>
      </c>
      <c r="AP1194" s="2">
        <v>42831</v>
      </c>
      <c r="AQ1194" t="s">
        <v>72</v>
      </c>
      <c r="AR1194" t="s">
        <v>72</v>
      </c>
      <c r="AS1194">
        <v>538</v>
      </c>
      <c r="AT1194" s="4">
        <v>42787</v>
      </c>
      <c r="AV1194">
        <v>538</v>
      </c>
      <c r="AW1194" s="4">
        <v>42787</v>
      </c>
      <c r="BD1194">
        <v>0</v>
      </c>
      <c r="BN1194" t="s">
        <v>74</v>
      </c>
    </row>
    <row r="1195" spans="1:66" hidden="1">
      <c r="A1195">
        <v>101555</v>
      </c>
      <c r="B1195" t="s">
        <v>293</v>
      </c>
      <c r="C1195" s="1">
        <v>43500101</v>
      </c>
      <c r="D1195" t="s">
        <v>98</v>
      </c>
      <c r="H1195" t="str">
        <f>"PCRDLF42L14A509G"</f>
        <v>PCRDLF42L14A509G</v>
      </c>
      <c r="I1195" t="str">
        <f>""</f>
        <v/>
      </c>
      <c r="K1195" t="str">
        <f>""</f>
        <v/>
      </c>
      <c r="M1195" t="s">
        <v>68</v>
      </c>
      <c r="N1195" t="str">
        <f>"ALT"</f>
        <v>ALT</v>
      </c>
      <c r="O1195" t="s">
        <v>99</v>
      </c>
      <c r="P1195" t="s">
        <v>84</v>
      </c>
      <c r="Q1195">
        <v>2017</v>
      </c>
      <c r="R1195" s="4">
        <v>42815</v>
      </c>
      <c r="S1195" s="2">
        <v>42815</v>
      </c>
      <c r="T1195" s="2">
        <v>42815</v>
      </c>
      <c r="U1195" s="4">
        <v>42875</v>
      </c>
      <c r="V1195" t="s">
        <v>71</v>
      </c>
      <c r="W1195" t="str">
        <f>"                0321"</f>
        <v xml:space="preserve">                0321</v>
      </c>
      <c r="X1195">
        <v>0</v>
      </c>
      <c r="Y1195">
        <v>180.75</v>
      </c>
      <c r="Z1195" s="3">
        <v>180.75</v>
      </c>
      <c r="AA1195" s="3">
        <v>-60</v>
      </c>
      <c r="AB1195" s="5">
        <v>-10845</v>
      </c>
      <c r="AC1195">
        <v>180.75</v>
      </c>
      <c r="AD1195">
        <v>-60</v>
      </c>
      <c r="AE1195" s="1">
        <v>-10845</v>
      </c>
      <c r="AF1195">
        <v>0</v>
      </c>
      <c r="AJ1195">
        <v>180.75</v>
      </c>
      <c r="AK1195">
        <v>180.75</v>
      </c>
      <c r="AL1195">
        <v>180.75</v>
      </c>
      <c r="AM1195">
        <v>180.75</v>
      </c>
      <c r="AN1195">
        <v>180.75</v>
      </c>
      <c r="AO1195">
        <v>180.75</v>
      </c>
      <c r="AP1195" s="2">
        <v>42831</v>
      </c>
      <c r="AQ1195" t="s">
        <v>72</v>
      </c>
      <c r="AR1195" t="s">
        <v>72</v>
      </c>
      <c r="AS1195">
        <v>835</v>
      </c>
      <c r="AT1195" s="4">
        <v>42815</v>
      </c>
      <c r="AV1195">
        <v>835</v>
      </c>
      <c r="AW1195" s="4">
        <v>42815</v>
      </c>
      <c r="BD1195">
        <v>0</v>
      </c>
      <c r="BN1195" t="s">
        <v>74</v>
      </c>
    </row>
    <row r="1196" spans="1:66">
      <c r="A1196">
        <v>101556</v>
      </c>
      <c r="B1196" t="s">
        <v>294</v>
      </c>
      <c r="C1196" s="1">
        <v>43300101</v>
      </c>
      <c r="D1196" t="s">
        <v>67</v>
      </c>
      <c r="H1196" t="str">
        <f t="shared" ref="H1196:I1203" si="154">"01471180628"</f>
        <v>01471180628</v>
      </c>
      <c r="I1196" t="str">
        <f t="shared" si="154"/>
        <v>01471180628</v>
      </c>
      <c r="K1196" t="str">
        <f>""</f>
        <v/>
      </c>
      <c r="M1196" t="s">
        <v>68</v>
      </c>
      <c r="N1196" t="str">
        <f t="shared" ref="N1196:N1213" si="155">"FOR"</f>
        <v>FOR</v>
      </c>
      <c r="O1196" t="s">
        <v>69</v>
      </c>
      <c r="P1196" t="s">
        <v>75</v>
      </c>
      <c r="Q1196">
        <v>2016</v>
      </c>
      <c r="R1196" s="4">
        <v>42573</v>
      </c>
      <c r="S1196" s="2">
        <v>42578</v>
      </c>
      <c r="T1196" s="2">
        <v>42573</v>
      </c>
      <c r="U1196" s="4">
        <v>42633</v>
      </c>
      <c r="V1196" t="s">
        <v>71</v>
      </c>
      <c r="W1196" t="str">
        <f>"              200/PA"</f>
        <v xml:space="preserve">              200/PA</v>
      </c>
      <c r="X1196">
        <v>159</v>
      </c>
      <c r="Y1196">
        <v>0</v>
      </c>
      <c r="Z1196" s="5">
        <v>130.33000000000001</v>
      </c>
      <c r="AA1196" s="3">
        <v>139</v>
      </c>
      <c r="AB1196" s="5">
        <v>18115.87</v>
      </c>
      <c r="AC1196">
        <v>130.33000000000001</v>
      </c>
      <c r="AD1196">
        <v>139</v>
      </c>
      <c r="AE1196" s="1">
        <v>18115.87</v>
      </c>
      <c r="AF1196">
        <v>28.67</v>
      </c>
      <c r="AJ1196">
        <v>0</v>
      </c>
      <c r="AK1196">
        <v>0</v>
      </c>
      <c r="AL1196">
        <v>0</v>
      </c>
      <c r="AM1196">
        <v>0</v>
      </c>
      <c r="AN1196">
        <v>0</v>
      </c>
      <c r="AO1196">
        <v>0</v>
      </c>
      <c r="AP1196" s="2">
        <v>42831</v>
      </c>
      <c r="AQ1196" t="s">
        <v>72</v>
      </c>
      <c r="AR1196" t="s">
        <v>72</v>
      </c>
      <c r="AS1196">
        <v>292</v>
      </c>
      <c r="AT1196" s="4">
        <v>42772</v>
      </c>
      <c r="AU1196" t="s">
        <v>73</v>
      </c>
      <c r="AV1196">
        <v>292</v>
      </c>
      <c r="AW1196" s="4">
        <v>42772</v>
      </c>
      <c r="BD1196">
        <v>28.67</v>
      </c>
      <c r="BN1196" t="s">
        <v>74</v>
      </c>
    </row>
    <row r="1197" spans="1:66">
      <c r="A1197">
        <v>101556</v>
      </c>
      <c r="B1197" t="s">
        <v>294</v>
      </c>
      <c r="C1197" s="1">
        <v>43300101</v>
      </c>
      <c r="D1197" t="s">
        <v>67</v>
      </c>
      <c r="H1197" t="str">
        <f t="shared" si="154"/>
        <v>01471180628</v>
      </c>
      <c r="I1197" t="str">
        <f t="shared" si="154"/>
        <v>01471180628</v>
      </c>
      <c r="K1197" t="str">
        <f>""</f>
        <v/>
      </c>
      <c r="M1197" t="s">
        <v>68</v>
      </c>
      <c r="N1197" t="str">
        <f t="shared" si="155"/>
        <v>FOR</v>
      </c>
      <c r="O1197" t="s">
        <v>69</v>
      </c>
      <c r="P1197" t="s">
        <v>75</v>
      </c>
      <c r="Q1197">
        <v>2016</v>
      </c>
      <c r="R1197" s="4">
        <v>42573</v>
      </c>
      <c r="S1197" s="2">
        <v>42578</v>
      </c>
      <c r="T1197" s="2">
        <v>42573</v>
      </c>
      <c r="U1197" s="4">
        <v>42633</v>
      </c>
      <c r="V1197" t="s">
        <v>71</v>
      </c>
      <c r="W1197" t="str">
        <f>"              201/PA"</f>
        <v xml:space="preserve">              201/PA</v>
      </c>
      <c r="X1197">
        <v>78.08</v>
      </c>
      <c r="Y1197">
        <v>0</v>
      </c>
      <c r="Z1197" s="5">
        <v>64</v>
      </c>
      <c r="AA1197" s="3">
        <v>139</v>
      </c>
      <c r="AB1197" s="5">
        <v>8896</v>
      </c>
      <c r="AC1197">
        <v>64</v>
      </c>
      <c r="AD1197">
        <v>139</v>
      </c>
      <c r="AE1197" s="1">
        <v>8896</v>
      </c>
      <c r="AF1197">
        <v>14.08</v>
      </c>
      <c r="AJ1197">
        <v>0</v>
      </c>
      <c r="AK1197">
        <v>0</v>
      </c>
      <c r="AL1197">
        <v>0</v>
      </c>
      <c r="AM1197">
        <v>0</v>
      </c>
      <c r="AN1197">
        <v>0</v>
      </c>
      <c r="AO1197">
        <v>0</v>
      </c>
      <c r="AP1197" s="2">
        <v>42831</v>
      </c>
      <c r="AQ1197" t="s">
        <v>72</v>
      </c>
      <c r="AR1197" t="s">
        <v>72</v>
      </c>
      <c r="AS1197">
        <v>292</v>
      </c>
      <c r="AT1197" s="4">
        <v>42772</v>
      </c>
      <c r="AU1197" t="s">
        <v>73</v>
      </c>
      <c r="AV1197">
        <v>292</v>
      </c>
      <c r="AW1197" s="4">
        <v>42772</v>
      </c>
      <c r="BD1197">
        <v>14.08</v>
      </c>
      <c r="BN1197" t="s">
        <v>74</v>
      </c>
    </row>
    <row r="1198" spans="1:66">
      <c r="A1198">
        <v>101556</v>
      </c>
      <c r="B1198" t="s">
        <v>294</v>
      </c>
      <c r="C1198" s="1">
        <v>43300101</v>
      </c>
      <c r="D1198" t="s">
        <v>67</v>
      </c>
      <c r="H1198" t="str">
        <f t="shared" si="154"/>
        <v>01471180628</v>
      </c>
      <c r="I1198" t="str">
        <f t="shared" si="154"/>
        <v>01471180628</v>
      </c>
      <c r="K1198" t="str">
        <f>""</f>
        <v/>
      </c>
      <c r="M1198" t="s">
        <v>68</v>
      </c>
      <c r="N1198" t="str">
        <f t="shared" si="155"/>
        <v>FOR</v>
      </c>
      <c r="O1198" t="s">
        <v>69</v>
      </c>
      <c r="P1198" t="s">
        <v>75</v>
      </c>
      <c r="Q1198">
        <v>2016</v>
      </c>
      <c r="R1198" s="4">
        <v>42576</v>
      </c>
      <c r="S1198" s="2">
        <v>42578</v>
      </c>
      <c r="T1198" s="2">
        <v>42577</v>
      </c>
      <c r="U1198" s="4">
        <v>42637</v>
      </c>
      <c r="V1198" t="s">
        <v>71</v>
      </c>
      <c r="W1198" t="str">
        <f>"              202/PA"</f>
        <v xml:space="preserve">              202/PA</v>
      </c>
      <c r="X1198">
        <v>186.56</v>
      </c>
      <c r="Y1198">
        <v>0</v>
      </c>
      <c r="Z1198" s="5">
        <v>152.91999999999999</v>
      </c>
      <c r="AA1198" s="3">
        <v>135</v>
      </c>
      <c r="AB1198" s="5">
        <v>20644.2</v>
      </c>
      <c r="AC1198">
        <v>152.91999999999999</v>
      </c>
      <c r="AD1198">
        <v>135</v>
      </c>
      <c r="AE1198" s="1">
        <v>20644.2</v>
      </c>
      <c r="AF1198">
        <v>33.64</v>
      </c>
      <c r="AJ1198">
        <v>0</v>
      </c>
      <c r="AK1198">
        <v>0</v>
      </c>
      <c r="AL1198">
        <v>0</v>
      </c>
      <c r="AM1198">
        <v>0</v>
      </c>
      <c r="AN1198">
        <v>0</v>
      </c>
      <c r="AO1198">
        <v>0</v>
      </c>
      <c r="AP1198" s="2">
        <v>42831</v>
      </c>
      <c r="AQ1198" t="s">
        <v>72</v>
      </c>
      <c r="AR1198" t="s">
        <v>72</v>
      </c>
      <c r="AS1198">
        <v>292</v>
      </c>
      <c r="AT1198" s="4">
        <v>42772</v>
      </c>
      <c r="AU1198" t="s">
        <v>73</v>
      </c>
      <c r="AV1198">
        <v>292</v>
      </c>
      <c r="AW1198" s="4">
        <v>42772</v>
      </c>
      <c r="BD1198">
        <v>33.64</v>
      </c>
      <c r="BN1198" t="s">
        <v>74</v>
      </c>
    </row>
    <row r="1199" spans="1:66">
      <c r="A1199">
        <v>101556</v>
      </c>
      <c r="B1199" t="s">
        <v>294</v>
      </c>
      <c r="C1199" s="1">
        <v>43300101</v>
      </c>
      <c r="D1199" t="s">
        <v>67</v>
      </c>
      <c r="H1199" t="str">
        <f t="shared" si="154"/>
        <v>01471180628</v>
      </c>
      <c r="I1199" t="str">
        <f t="shared" si="154"/>
        <v>01471180628</v>
      </c>
      <c r="K1199" t="str">
        <f>""</f>
        <v/>
      </c>
      <c r="M1199" t="s">
        <v>68</v>
      </c>
      <c r="N1199" t="str">
        <f t="shared" si="155"/>
        <v>FOR</v>
      </c>
      <c r="O1199" t="s">
        <v>69</v>
      </c>
      <c r="P1199" t="s">
        <v>75</v>
      </c>
      <c r="Q1199">
        <v>2016</v>
      </c>
      <c r="R1199" s="4">
        <v>42587</v>
      </c>
      <c r="S1199" s="2">
        <v>42591</v>
      </c>
      <c r="T1199" s="2">
        <v>42591</v>
      </c>
      <c r="U1199" s="4">
        <v>42651</v>
      </c>
      <c r="V1199" t="s">
        <v>71</v>
      </c>
      <c r="W1199" t="str">
        <f>"              218/PA"</f>
        <v xml:space="preserve">              218/PA</v>
      </c>
      <c r="X1199">
        <v>318.01</v>
      </c>
      <c r="Y1199">
        <v>0</v>
      </c>
      <c r="Z1199" s="5">
        <v>260.66000000000003</v>
      </c>
      <c r="AA1199" s="3">
        <v>121</v>
      </c>
      <c r="AB1199" s="5">
        <v>31539.86</v>
      </c>
      <c r="AC1199">
        <v>260.66000000000003</v>
      </c>
      <c r="AD1199">
        <v>121</v>
      </c>
      <c r="AE1199" s="1">
        <v>31539.86</v>
      </c>
      <c r="AF1199">
        <v>57.35</v>
      </c>
      <c r="AJ1199">
        <v>0</v>
      </c>
      <c r="AK1199">
        <v>0</v>
      </c>
      <c r="AL1199">
        <v>0</v>
      </c>
      <c r="AM1199">
        <v>0</v>
      </c>
      <c r="AN1199">
        <v>0</v>
      </c>
      <c r="AO1199">
        <v>0</v>
      </c>
      <c r="AP1199" s="2">
        <v>42831</v>
      </c>
      <c r="AQ1199" t="s">
        <v>72</v>
      </c>
      <c r="AR1199" t="s">
        <v>72</v>
      </c>
      <c r="AS1199">
        <v>292</v>
      </c>
      <c r="AT1199" s="4">
        <v>42772</v>
      </c>
      <c r="AU1199" t="s">
        <v>73</v>
      </c>
      <c r="AV1199">
        <v>292</v>
      </c>
      <c r="AW1199" s="4">
        <v>42772</v>
      </c>
      <c r="BC1199">
        <v>57.35</v>
      </c>
      <c r="BD1199">
        <v>0</v>
      </c>
      <c r="BN1199" t="s">
        <v>74</v>
      </c>
    </row>
    <row r="1200" spans="1:66">
      <c r="A1200">
        <v>101556</v>
      </c>
      <c r="B1200" t="s">
        <v>294</v>
      </c>
      <c r="C1200" s="1">
        <v>43300101</v>
      </c>
      <c r="D1200" t="s">
        <v>67</v>
      </c>
      <c r="H1200" t="str">
        <f t="shared" si="154"/>
        <v>01471180628</v>
      </c>
      <c r="I1200" t="str">
        <f t="shared" si="154"/>
        <v>01471180628</v>
      </c>
      <c r="K1200" t="str">
        <f>""</f>
        <v/>
      </c>
      <c r="M1200" t="s">
        <v>68</v>
      </c>
      <c r="N1200" t="str">
        <f t="shared" si="155"/>
        <v>FOR</v>
      </c>
      <c r="O1200" t="s">
        <v>69</v>
      </c>
      <c r="P1200" t="s">
        <v>75</v>
      </c>
      <c r="Q1200">
        <v>2016</v>
      </c>
      <c r="R1200" s="4">
        <v>42621</v>
      </c>
      <c r="S1200" s="2">
        <v>42625</v>
      </c>
      <c r="T1200" s="2">
        <v>42621</v>
      </c>
      <c r="U1200" s="4">
        <v>42681</v>
      </c>
      <c r="V1200" t="s">
        <v>71</v>
      </c>
      <c r="W1200" t="str">
        <f>"              231/PA"</f>
        <v xml:space="preserve">              231/PA</v>
      </c>
      <c r="X1200">
        <v>159</v>
      </c>
      <c r="Y1200">
        <v>0</v>
      </c>
      <c r="Z1200" s="5">
        <v>130.33000000000001</v>
      </c>
      <c r="AA1200" s="3">
        <v>91</v>
      </c>
      <c r="AB1200" s="5">
        <v>11860.03</v>
      </c>
      <c r="AC1200">
        <v>130.33000000000001</v>
      </c>
      <c r="AD1200">
        <v>91</v>
      </c>
      <c r="AE1200" s="1">
        <v>11860.03</v>
      </c>
      <c r="AF1200">
        <v>28.67</v>
      </c>
      <c r="AJ1200">
        <v>0</v>
      </c>
      <c r="AK1200">
        <v>0</v>
      </c>
      <c r="AL1200">
        <v>0</v>
      </c>
      <c r="AM1200">
        <v>0</v>
      </c>
      <c r="AN1200">
        <v>0</v>
      </c>
      <c r="AO1200">
        <v>0</v>
      </c>
      <c r="AP1200" s="2">
        <v>42831</v>
      </c>
      <c r="AQ1200" t="s">
        <v>72</v>
      </c>
      <c r="AR1200" t="s">
        <v>72</v>
      </c>
      <c r="AS1200">
        <v>292</v>
      </c>
      <c r="AT1200" s="4">
        <v>42772</v>
      </c>
      <c r="AU1200" t="s">
        <v>73</v>
      </c>
      <c r="AV1200">
        <v>292</v>
      </c>
      <c r="AW1200" s="4">
        <v>42772</v>
      </c>
      <c r="BB1200">
        <v>28.67</v>
      </c>
      <c r="BD1200">
        <v>0</v>
      </c>
      <c r="BN1200" t="s">
        <v>74</v>
      </c>
    </row>
    <row r="1201" spans="1:66">
      <c r="A1201">
        <v>101556</v>
      </c>
      <c r="B1201" t="s">
        <v>294</v>
      </c>
      <c r="C1201" s="1">
        <v>43300101</v>
      </c>
      <c r="D1201" t="s">
        <v>67</v>
      </c>
      <c r="H1201" t="str">
        <f t="shared" si="154"/>
        <v>01471180628</v>
      </c>
      <c r="I1201" t="str">
        <f t="shared" si="154"/>
        <v>01471180628</v>
      </c>
      <c r="K1201" t="str">
        <f>""</f>
        <v/>
      </c>
      <c r="M1201" t="s">
        <v>68</v>
      </c>
      <c r="N1201" t="str">
        <f t="shared" si="155"/>
        <v>FOR</v>
      </c>
      <c r="O1201" t="s">
        <v>69</v>
      </c>
      <c r="P1201" t="s">
        <v>75</v>
      </c>
      <c r="Q1201">
        <v>2016</v>
      </c>
      <c r="R1201" s="4">
        <v>42627</v>
      </c>
      <c r="S1201" s="2">
        <v>42627</v>
      </c>
      <c r="T1201" s="2">
        <v>42627</v>
      </c>
      <c r="U1201" s="4">
        <v>42687</v>
      </c>
      <c r="V1201" t="s">
        <v>71</v>
      </c>
      <c r="W1201" t="str">
        <f>"              232/PA"</f>
        <v xml:space="preserve">              232/PA</v>
      </c>
      <c r="X1201">
        <v>46.64</v>
      </c>
      <c r="Y1201">
        <v>0</v>
      </c>
      <c r="Z1201" s="5">
        <v>38.229999999999997</v>
      </c>
      <c r="AA1201" s="3">
        <v>85</v>
      </c>
      <c r="AB1201" s="5">
        <v>3249.55</v>
      </c>
      <c r="AC1201">
        <v>38.229999999999997</v>
      </c>
      <c r="AD1201">
        <v>85</v>
      </c>
      <c r="AE1201" s="1">
        <v>3249.55</v>
      </c>
      <c r="AF1201">
        <v>8.41</v>
      </c>
      <c r="AJ1201">
        <v>0</v>
      </c>
      <c r="AK1201">
        <v>0</v>
      </c>
      <c r="AL1201">
        <v>0</v>
      </c>
      <c r="AM1201">
        <v>0</v>
      </c>
      <c r="AN1201">
        <v>0</v>
      </c>
      <c r="AO1201">
        <v>0</v>
      </c>
      <c r="AP1201" s="2">
        <v>42831</v>
      </c>
      <c r="AQ1201" t="s">
        <v>72</v>
      </c>
      <c r="AR1201" t="s">
        <v>72</v>
      </c>
      <c r="AS1201">
        <v>292</v>
      </c>
      <c r="AT1201" s="4">
        <v>42772</v>
      </c>
      <c r="AU1201" t="s">
        <v>73</v>
      </c>
      <c r="AV1201">
        <v>292</v>
      </c>
      <c r="AW1201" s="4">
        <v>42772</v>
      </c>
      <c r="BB1201">
        <v>8.41</v>
      </c>
      <c r="BD1201">
        <v>0</v>
      </c>
      <c r="BN1201" t="s">
        <v>74</v>
      </c>
    </row>
    <row r="1202" spans="1:66">
      <c r="A1202">
        <v>101556</v>
      </c>
      <c r="B1202" t="s">
        <v>294</v>
      </c>
      <c r="C1202" s="1">
        <v>43300101</v>
      </c>
      <c r="D1202" t="s">
        <v>67</v>
      </c>
      <c r="H1202" t="str">
        <f t="shared" si="154"/>
        <v>01471180628</v>
      </c>
      <c r="I1202" t="str">
        <f t="shared" si="154"/>
        <v>01471180628</v>
      </c>
      <c r="K1202" t="str">
        <f>""</f>
        <v/>
      </c>
      <c r="M1202" t="s">
        <v>68</v>
      </c>
      <c r="N1202" t="str">
        <f t="shared" si="155"/>
        <v>FOR</v>
      </c>
      <c r="O1202" t="s">
        <v>69</v>
      </c>
      <c r="P1202" t="s">
        <v>75</v>
      </c>
      <c r="Q1202">
        <v>2016</v>
      </c>
      <c r="R1202" s="4">
        <v>42634</v>
      </c>
      <c r="S1202" s="2">
        <v>42635</v>
      </c>
      <c r="T1202" s="2">
        <v>42634</v>
      </c>
      <c r="U1202" s="4">
        <v>42694</v>
      </c>
      <c r="V1202" t="s">
        <v>71</v>
      </c>
      <c r="W1202" t="str">
        <f>"              238/PA"</f>
        <v xml:space="preserve">              238/PA</v>
      </c>
      <c r="X1202">
        <v>233.2</v>
      </c>
      <c r="Y1202">
        <v>0</v>
      </c>
      <c r="Z1202" s="5">
        <v>191.15</v>
      </c>
      <c r="AA1202" s="3">
        <v>78</v>
      </c>
      <c r="AB1202" s="5">
        <v>14909.7</v>
      </c>
      <c r="AC1202">
        <v>191.15</v>
      </c>
      <c r="AD1202">
        <v>78</v>
      </c>
      <c r="AE1202" s="1">
        <v>14909.7</v>
      </c>
      <c r="AF1202">
        <v>42.05</v>
      </c>
      <c r="AJ1202">
        <v>0</v>
      </c>
      <c r="AK1202">
        <v>0</v>
      </c>
      <c r="AL1202">
        <v>0</v>
      </c>
      <c r="AM1202">
        <v>0</v>
      </c>
      <c r="AN1202">
        <v>0</v>
      </c>
      <c r="AO1202">
        <v>0</v>
      </c>
      <c r="AP1202" s="2">
        <v>42831</v>
      </c>
      <c r="AQ1202" t="s">
        <v>72</v>
      </c>
      <c r="AR1202" t="s">
        <v>72</v>
      </c>
      <c r="AS1202">
        <v>292</v>
      </c>
      <c r="AT1202" s="4">
        <v>42772</v>
      </c>
      <c r="AU1202" t="s">
        <v>73</v>
      </c>
      <c r="AV1202">
        <v>292</v>
      </c>
      <c r="AW1202" s="4">
        <v>42772</v>
      </c>
      <c r="BB1202">
        <v>42.05</v>
      </c>
      <c r="BD1202">
        <v>0</v>
      </c>
      <c r="BN1202" t="s">
        <v>74</v>
      </c>
    </row>
    <row r="1203" spans="1:66">
      <c r="A1203">
        <v>101556</v>
      </c>
      <c r="B1203" t="s">
        <v>294</v>
      </c>
      <c r="C1203" s="1">
        <v>43300101</v>
      </c>
      <c r="D1203" t="s">
        <v>67</v>
      </c>
      <c r="H1203" t="str">
        <f t="shared" si="154"/>
        <v>01471180628</v>
      </c>
      <c r="I1203" t="str">
        <f t="shared" si="154"/>
        <v>01471180628</v>
      </c>
      <c r="K1203" t="str">
        <f>""</f>
        <v/>
      </c>
      <c r="M1203" t="s">
        <v>68</v>
      </c>
      <c r="N1203" t="str">
        <f t="shared" si="155"/>
        <v>FOR</v>
      </c>
      <c r="O1203" t="s">
        <v>69</v>
      </c>
      <c r="P1203" t="s">
        <v>75</v>
      </c>
      <c r="Q1203">
        <v>2016</v>
      </c>
      <c r="R1203" s="4">
        <v>42634</v>
      </c>
      <c r="S1203" s="2">
        <v>42635</v>
      </c>
      <c r="T1203" s="2">
        <v>42634</v>
      </c>
      <c r="U1203" s="4">
        <v>42694</v>
      </c>
      <c r="V1203" t="s">
        <v>71</v>
      </c>
      <c r="W1203" t="str">
        <f>"              239/PA"</f>
        <v xml:space="preserve">              239/PA</v>
      </c>
      <c r="X1203">
        <v>318.01</v>
      </c>
      <c r="Y1203">
        <v>0</v>
      </c>
      <c r="Z1203" s="5">
        <v>260.66000000000003</v>
      </c>
      <c r="AA1203" s="3">
        <v>78</v>
      </c>
      <c r="AB1203" s="5">
        <v>20331.48</v>
      </c>
      <c r="AC1203">
        <v>260.66000000000003</v>
      </c>
      <c r="AD1203">
        <v>78</v>
      </c>
      <c r="AE1203" s="1">
        <v>20331.48</v>
      </c>
      <c r="AF1203">
        <v>57.35</v>
      </c>
      <c r="AJ1203">
        <v>0</v>
      </c>
      <c r="AK1203">
        <v>0</v>
      </c>
      <c r="AL1203">
        <v>0</v>
      </c>
      <c r="AM1203">
        <v>0</v>
      </c>
      <c r="AN1203">
        <v>0</v>
      </c>
      <c r="AO1203">
        <v>0</v>
      </c>
      <c r="AP1203" s="2">
        <v>42831</v>
      </c>
      <c r="AQ1203" t="s">
        <v>72</v>
      </c>
      <c r="AR1203" t="s">
        <v>72</v>
      </c>
      <c r="AS1203">
        <v>292</v>
      </c>
      <c r="AT1203" s="4">
        <v>42772</v>
      </c>
      <c r="AU1203" t="s">
        <v>73</v>
      </c>
      <c r="AV1203">
        <v>292</v>
      </c>
      <c r="AW1203" s="4">
        <v>42772</v>
      </c>
      <c r="BB1203">
        <v>57.35</v>
      </c>
      <c r="BD1203">
        <v>0</v>
      </c>
      <c r="BN1203" t="s">
        <v>74</v>
      </c>
    </row>
    <row r="1204" spans="1:66">
      <c r="A1204">
        <v>101562</v>
      </c>
      <c r="B1204" t="s">
        <v>295</v>
      </c>
      <c r="C1204" s="1">
        <v>43300101</v>
      </c>
      <c r="D1204" t="s">
        <v>67</v>
      </c>
      <c r="H1204" t="str">
        <f>"04709610150"</f>
        <v>04709610150</v>
      </c>
      <c r="I1204" t="str">
        <f>"13181610158"</f>
        <v>13181610158</v>
      </c>
      <c r="K1204" t="str">
        <f>""</f>
        <v/>
      </c>
      <c r="M1204" t="s">
        <v>68</v>
      </c>
      <c r="N1204" t="str">
        <f t="shared" si="155"/>
        <v>FOR</v>
      </c>
      <c r="O1204" t="s">
        <v>69</v>
      </c>
      <c r="P1204" t="s">
        <v>75</v>
      </c>
      <c r="Q1204">
        <v>2016</v>
      </c>
      <c r="R1204" s="4">
        <v>42704</v>
      </c>
      <c r="S1204" s="2">
        <v>42711</v>
      </c>
      <c r="T1204" s="2">
        <v>42711</v>
      </c>
      <c r="U1204" s="4">
        <v>42771</v>
      </c>
      <c r="V1204" t="s">
        <v>71</v>
      </c>
      <c r="W1204" t="str">
        <f>"             2570 /P"</f>
        <v xml:space="preserve">             2570 /P</v>
      </c>
      <c r="X1204" s="1">
        <v>3782</v>
      </c>
      <c r="Y1204">
        <v>0</v>
      </c>
      <c r="Z1204" s="5">
        <v>3100</v>
      </c>
      <c r="AA1204" s="3">
        <v>3</v>
      </c>
      <c r="AB1204" s="5">
        <v>9300</v>
      </c>
      <c r="AC1204" s="1">
        <v>3100</v>
      </c>
      <c r="AD1204">
        <v>3</v>
      </c>
      <c r="AE1204" s="1">
        <v>9300</v>
      </c>
      <c r="AF1204">
        <v>0</v>
      </c>
      <c r="AJ1204">
        <v>0</v>
      </c>
      <c r="AK1204">
        <v>0</v>
      </c>
      <c r="AL1204">
        <v>0</v>
      </c>
      <c r="AM1204">
        <v>0</v>
      </c>
      <c r="AN1204">
        <v>0</v>
      </c>
      <c r="AO1204">
        <v>0</v>
      </c>
      <c r="AP1204" s="2">
        <v>42831</v>
      </c>
      <c r="AQ1204" t="s">
        <v>72</v>
      </c>
      <c r="AR1204" t="s">
        <v>72</v>
      </c>
      <c r="AS1204">
        <v>335</v>
      </c>
      <c r="AT1204" s="4">
        <v>42774</v>
      </c>
      <c r="AU1204" t="s">
        <v>73</v>
      </c>
      <c r="AV1204">
        <v>335</v>
      </c>
      <c r="AW1204" s="4">
        <v>42774</v>
      </c>
      <c r="BD1204">
        <v>0</v>
      </c>
      <c r="BN1204" t="s">
        <v>74</v>
      </c>
    </row>
    <row r="1205" spans="1:66">
      <c r="A1205">
        <v>101565</v>
      </c>
      <c r="B1205" t="s">
        <v>296</v>
      </c>
      <c r="C1205" s="1">
        <v>43300101</v>
      </c>
      <c r="D1205" t="s">
        <v>67</v>
      </c>
      <c r="H1205" t="str">
        <f t="shared" ref="H1205:H1213" si="156">"02505630109"</f>
        <v>02505630109</v>
      </c>
      <c r="I1205" t="str">
        <f t="shared" ref="I1205:I1213" si="157">"02992620274"</f>
        <v>02992620274</v>
      </c>
      <c r="K1205" t="str">
        <f>""</f>
        <v/>
      </c>
      <c r="M1205" t="s">
        <v>68</v>
      </c>
      <c r="N1205" t="str">
        <f t="shared" si="155"/>
        <v>FOR</v>
      </c>
      <c r="O1205" t="s">
        <v>69</v>
      </c>
      <c r="P1205" t="s">
        <v>70</v>
      </c>
      <c r="Q1205">
        <v>2014</v>
      </c>
      <c r="R1205" s="4">
        <v>41940</v>
      </c>
      <c r="S1205" s="2">
        <v>41995</v>
      </c>
      <c r="T1205" s="2">
        <v>41995</v>
      </c>
      <c r="U1205" s="4">
        <v>42055</v>
      </c>
      <c r="V1205" t="s">
        <v>71</v>
      </c>
      <c r="W1205" t="str">
        <f>"        2014/FVM/703"</f>
        <v xml:space="preserve">        2014/FVM/703</v>
      </c>
      <c r="X1205" s="1">
        <v>5350.11</v>
      </c>
      <c r="Y1205">
        <v>0</v>
      </c>
      <c r="Z1205" s="5">
        <v>2675.05</v>
      </c>
      <c r="AA1205" s="3">
        <v>761</v>
      </c>
      <c r="AB1205" s="5">
        <v>2035713.05</v>
      </c>
      <c r="AC1205" s="1">
        <v>2675.05</v>
      </c>
      <c r="AD1205">
        <v>761</v>
      </c>
      <c r="AE1205" s="1">
        <v>2035713.05</v>
      </c>
      <c r="AF1205" s="1">
        <v>2675.06</v>
      </c>
      <c r="AJ1205">
        <v>0</v>
      </c>
      <c r="AK1205">
        <v>0</v>
      </c>
      <c r="AL1205">
        <v>0</v>
      </c>
      <c r="AM1205">
        <v>0</v>
      </c>
      <c r="AN1205">
        <v>0</v>
      </c>
      <c r="AO1205">
        <v>0</v>
      </c>
      <c r="AP1205" s="2">
        <v>42831</v>
      </c>
      <c r="AQ1205" t="s">
        <v>72</v>
      </c>
      <c r="AR1205" t="s">
        <v>72</v>
      </c>
      <c r="AS1205">
        <v>887</v>
      </c>
      <c r="AT1205" s="4">
        <v>42816</v>
      </c>
      <c r="AU1205" t="s">
        <v>73</v>
      </c>
      <c r="AV1205">
        <v>887</v>
      </c>
      <c r="AW1205" s="4">
        <v>42816</v>
      </c>
      <c r="BD1205" s="1">
        <v>2675.06</v>
      </c>
      <c r="BN1205" t="s">
        <v>74</v>
      </c>
    </row>
    <row r="1206" spans="1:66">
      <c r="A1206">
        <v>101565</v>
      </c>
      <c r="B1206" t="s">
        <v>296</v>
      </c>
      <c r="C1206" s="1">
        <v>43300101</v>
      </c>
      <c r="D1206" t="s">
        <v>67</v>
      </c>
      <c r="H1206" t="str">
        <f t="shared" si="156"/>
        <v>02505630109</v>
      </c>
      <c r="I1206" t="str">
        <f t="shared" si="157"/>
        <v>02992620274</v>
      </c>
      <c r="K1206" t="str">
        <f>""</f>
        <v/>
      </c>
      <c r="M1206" t="s">
        <v>68</v>
      </c>
      <c r="N1206" t="str">
        <f t="shared" si="155"/>
        <v>FOR</v>
      </c>
      <c r="O1206" t="s">
        <v>69</v>
      </c>
      <c r="P1206" t="s">
        <v>75</v>
      </c>
      <c r="Q1206">
        <v>2015</v>
      </c>
      <c r="R1206" s="4">
        <v>42124</v>
      </c>
      <c r="S1206" s="2">
        <v>42181</v>
      </c>
      <c r="T1206" s="2">
        <v>42138</v>
      </c>
      <c r="U1206" s="4">
        <v>42198</v>
      </c>
      <c r="V1206" t="s">
        <v>71</v>
      </c>
      <c r="W1206" t="str">
        <f>"           000000410"</f>
        <v xml:space="preserve">           000000410</v>
      </c>
      <c r="X1206" s="1">
        <v>2221.94</v>
      </c>
      <c r="Y1206">
        <v>0</v>
      </c>
      <c r="Z1206" s="5">
        <v>1110.97</v>
      </c>
      <c r="AA1206" s="3">
        <v>618</v>
      </c>
      <c r="AB1206" s="5">
        <v>686579.46</v>
      </c>
      <c r="AC1206" s="1">
        <v>1110.97</v>
      </c>
      <c r="AD1206">
        <v>618</v>
      </c>
      <c r="AE1206" s="1">
        <v>686579.46</v>
      </c>
      <c r="AF1206" s="1">
        <v>1110.97</v>
      </c>
      <c r="AJ1206">
        <v>0</v>
      </c>
      <c r="AK1206">
        <v>0</v>
      </c>
      <c r="AL1206">
        <v>0</v>
      </c>
      <c r="AM1206">
        <v>0</v>
      </c>
      <c r="AN1206">
        <v>0</v>
      </c>
      <c r="AO1206">
        <v>0</v>
      </c>
      <c r="AP1206" s="2">
        <v>42831</v>
      </c>
      <c r="AQ1206" t="s">
        <v>72</v>
      </c>
      <c r="AR1206" t="s">
        <v>72</v>
      </c>
      <c r="AS1206">
        <v>887</v>
      </c>
      <c r="AT1206" s="4">
        <v>42816</v>
      </c>
      <c r="AU1206" t="s">
        <v>73</v>
      </c>
      <c r="AV1206">
        <v>887</v>
      </c>
      <c r="AW1206" s="4">
        <v>42816</v>
      </c>
      <c r="BD1206" s="1">
        <v>1110.97</v>
      </c>
      <c r="BN1206" t="s">
        <v>74</v>
      </c>
    </row>
    <row r="1207" spans="1:66">
      <c r="A1207">
        <v>101565</v>
      </c>
      <c r="B1207" t="s">
        <v>296</v>
      </c>
      <c r="C1207" s="1">
        <v>43300101</v>
      </c>
      <c r="D1207" t="s">
        <v>67</v>
      </c>
      <c r="H1207" t="str">
        <f t="shared" si="156"/>
        <v>02505630109</v>
      </c>
      <c r="I1207" t="str">
        <f t="shared" si="157"/>
        <v>02992620274</v>
      </c>
      <c r="K1207" t="str">
        <f>""</f>
        <v/>
      </c>
      <c r="M1207" t="s">
        <v>68</v>
      </c>
      <c r="N1207" t="str">
        <f t="shared" si="155"/>
        <v>FOR</v>
      </c>
      <c r="O1207" t="s">
        <v>69</v>
      </c>
      <c r="P1207" t="s">
        <v>70</v>
      </c>
      <c r="Q1207">
        <v>2015</v>
      </c>
      <c r="R1207" s="4">
        <v>42200</v>
      </c>
      <c r="S1207" s="2">
        <v>42734</v>
      </c>
      <c r="T1207" s="2">
        <v>42734</v>
      </c>
      <c r="U1207" s="4">
        <v>42794</v>
      </c>
      <c r="V1207" t="s">
        <v>71</v>
      </c>
      <c r="W1207" t="str">
        <f>"           000000693"</f>
        <v xml:space="preserve">           000000693</v>
      </c>
      <c r="X1207" s="1">
        <v>20740.23</v>
      </c>
      <c r="Y1207">
        <v>0</v>
      </c>
      <c r="Z1207" s="5">
        <v>10370.11</v>
      </c>
      <c r="AA1207" s="3">
        <v>22</v>
      </c>
      <c r="AB1207" s="5">
        <v>228142.42</v>
      </c>
      <c r="AC1207" s="1">
        <v>10370.11</v>
      </c>
      <c r="AD1207">
        <v>22</v>
      </c>
      <c r="AE1207" s="1">
        <v>228142.42</v>
      </c>
      <c r="AF1207" s="1">
        <v>10370.120000000001</v>
      </c>
      <c r="AJ1207">
        <v>0</v>
      </c>
      <c r="AK1207">
        <v>0</v>
      </c>
      <c r="AL1207">
        <v>0</v>
      </c>
      <c r="AM1207">
        <v>0</v>
      </c>
      <c r="AN1207">
        <v>0</v>
      </c>
      <c r="AO1207">
        <v>0</v>
      </c>
      <c r="AP1207" s="2">
        <v>42831</v>
      </c>
      <c r="AQ1207" t="s">
        <v>72</v>
      </c>
      <c r="AR1207" t="s">
        <v>72</v>
      </c>
      <c r="AS1207">
        <v>887</v>
      </c>
      <c r="AT1207" s="4">
        <v>42816</v>
      </c>
      <c r="AU1207" t="s">
        <v>73</v>
      </c>
      <c r="AV1207">
        <v>887</v>
      </c>
      <c r="AW1207" s="4">
        <v>42816</v>
      </c>
      <c r="AY1207" s="1">
        <v>10370.120000000001</v>
      </c>
      <c r="BD1207">
        <v>0</v>
      </c>
      <c r="BN1207" t="s">
        <v>74</v>
      </c>
    </row>
    <row r="1208" spans="1:66">
      <c r="A1208">
        <v>101565</v>
      </c>
      <c r="B1208" t="s">
        <v>296</v>
      </c>
      <c r="C1208" s="1">
        <v>43300101</v>
      </c>
      <c r="D1208" t="s">
        <v>67</v>
      </c>
      <c r="H1208" t="str">
        <f t="shared" si="156"/>
        <v>02505630109</v>
      </c>
      <c r="I1208" t="str">
        <f t="shared" si="157"/>
        <v>02992620274</v>
      </c>
      <c r="K1208" t="str">
        <f>""</f>
        <v/>
      </c>
      <c r="M1208" t="s">
        <v>68</v>
      </c>
      <c r="N1208" t="str">
        <f t="shared" si="155"/>
        <v>FOR</v>
      </c>
      <c r="O1208" t="s">
        <v>69</v>
      </c>
      <c r="P1208" t="s">
        <v>70</v>
      </c>
      <c r="Q1208">
        <v>2015</v>
      </c>
      <c r="R1208" s="4">
        <v>42296</v>
      </c>
      <c r="S1208" s="2">
        <v>42734</v>
      </c>
      <c r="T1208" s="2">
        <v>42734</v>
      </c>
      <c r="U1208" s="4">
        <v>42794</v>
      </c>
      <c r="V1208" t="s">
        <v>71</v>
      </c>
      <c r="W1208" t="str">
        <f>"           000000969"</f>
        <v xml:space="preserve">           000000969</v>
      </c>
      <c r="X1208" s="1">
        <v>4552.09</v>
      </c>
      <c r="Y1208">
        <v>0</v>
      </c>
      <c r="Z1208" s="5">
        <v>2276.04</v>
      </c>
      <c r="AA1208" s="3">
        <v>22</v>
      </c>
      <c r="AB1208" s="5">
        <v>50072.88</v>
      </c>
      <c r="AC1208" s="1">
        <v>2276.04</v>
      </c>
      <c r="AD1208">
        <v>22</v>
      </c>
      <c r="AE1208" s="1">
        <v>50072.88</v>
      </c>
      <c r="AF1208" s="1">
        <v>2276.0500000000002</v>
      </c>
      <c r="AJ1208">
        <v>0</v>
      </c>
      <c r="AK1208">
        <v>0</v>
      </c>
      <c r="AL1208">
        <v>0</v>
      </c>
      <c r="AM1208">
        <v>0</v>
      </c>
      <c r="AN1208">
        <v>0</v>
      </c>
      <c r="AO1208">
        <v>0</v>
      </c>
      <c r="AP1208" s="2">
        <v>42831</v>
      </c>
      <c r="AQ1208" t="s">
        <v>72</v>
      </c>
      <c r="AR1208" t="s">
        <v>72</v>
      </c>
      <c r="AS1208">
        <v>887</v>
      </c>
      <c r="AT1208" s="4">
        <v>42816</v>
      </c>
      <c r="AU1208" t="s">
        <v>73</v>
      </c>
      <c r="AV1208">
        <v>887</v>
      </c>
      <c r="AW1208" s="4">
        <v>42816</v>
      </c>
      <c r="AY1208" s="1">
        <v>2276.0500000000002</v>
      </c>
      <c r="BD1208">
        <v>0</v>
      </c>
      <c r="BN1208" t="s">
        <v>74</v>
      </c>
    </row>
    <row r="1209" spans="1:66">
      <c r="A1209">
        <v>101565</v>
      </c>
      <c r="B1209" t="s">
        <v>296</v>
      </c>
      <c r="C1209" s="1">
        <v>43300101</v>
      </c>
      <c r="D1209" t="s">
        <v>67</v>
      </c>
      <c r="H1209" t="str">
        <f t="shared" si="156"/>
        <v>02505630109</v>
      </c>
      <c r="I1209" t="str">
        <f t="shared" si="157"/>
        <v>02992620274</v>
      </c>
      <c r="K1209" t="str">
        <f>""</f>
        <v/>
      </c>
      <c r="M1209" t="s">
        <v>68</v>
      </c>
      <c r="N1209" t="str">
        <f t="shared" si="155"/>
        <v>FOR</v>
      </c>
      <c r="O1209" t="s">
        <v>69</v>
      </c>
      <c r="P1209" t="s">
        <v>70</v>
      </c>
      <c r="Q1209">
        <v>2015</v>
      </c>
      <c r="R1209" s="4">
        <v>42032</v>
      </c>
      <c r="S1209" s="2">
        <v>42734</v>
      </c>
      <c r="T1209" s="2">
        <v>42734</v>
      </c>
      <c r="U1209" s="4">
        <v>42794</v>
      </c>
      <c r="V1209" t="s">
        <v>71</v>
      </c>
      <c r="W1209" t="str">
        <f>"        2015/FVM/109"</f>
        <v xml:space="preserve">        2015/FVM/109</v>
      </c>
      <c r="X1209" s="1">
        <v>10386.74</v>
      </c>
      <c r="Y1209">
        <v>0</v>
      </c>
      <c r="Z1209" s="5">
        <v>5193.37</v>
      </c>
      <c r="AA1209" s="3">
        <v>22</v>
      </c>
      <c r="AB1209" s="5">
        <v>114254.14</v>
      </c>
      <c r="AC1209" s="1">
        <v>5193.37</v>
      </c>
      <c r="AD1209">
        <v>22</v>
      </c>
      <c r="AE1209" s="1">
        <v>114254.14</v>
      </c>
      <c r="AF1209" s="1">
        <v>5193.37</v>
      </c>
      <c r="AJ1209">
        <v>0</v>
      </c>
      <c r="AK1209">
        <v>0</v>
      </c>
      <c r="AL1209">
        <v>0</v>
      </c>
      <c r="AM1209">
        <v>0</v>
      </c>
      <c r="AN1209">
        <v>0</v>
      </c>
      <c r="AO1209">
        <v>0</v>
      </c>
      <c r="AP1209" s="2">
        <v>42831</v>
      </c>
      <c r="AQ1209" t="s">
        <v>72</v>
      </c>
      <c r="AR1209" t="s">
        <v>72</v>
      </c>
      <c r="AS1209">
        <v>887</v>
      </c>
      <c r="AT1209" s="4">
        <v>42816</v>
      </c>
      <c r="AU1209" t="s">
        <v>73</v>
      </c>
      <c r="AV1209">
        <v>887</v>
      </c>
      <c r="AW1209" s="4">
        <v>42816</v>
      </c>
      <c r="AY1209" s="1">
        <v>5193.37</v>
      </c>
      <c r="BD1209">
        <v>0</v>
      </c>
      <c r="BN1209" t="s">
        <v>74</v>
      </c>
    </row>
    <row r="1210" spans="1:66">
      <c r="A1210">
        <v>101565</v>
      </c>
      <c r="B1210" t="s">
        <v>296</v>
      </c>
      <c r="C1210" s="1">
        <v>43300101</v>
      </c>
      <c r="D1210" t="s">
        <v>67</v>
      </c>
      <c r="H1210" t="str">
        <f t="shared" si="156"/>
        <v>02505630109</v>
      </c>
      <c r="I1210" t="str">
        <f t="shared" si="157"/>
        <v>02992620274</v>
      </c>
      <c r="K1210" t="str">
        <f>""</f>
        <v/>
      </c>
      <c r="M1210" t="s">
        <v>68</v>
      </c>
      <c r="N1210" t="str">
        <f t="shared" si="155"/>
        <v>FOR</v>
      </c>
      <c r="O1210" t="s">
        <v>69</v>
      </c>
      <c r="P1210" t="s">
        <v>75</v>
      </c>
      <c r="Q1210">
        <v>2016</v>
      </c>
      <c r="R1210" s="4">
        <v>42410</v>
      </c>
      <c r="S1210" s="2">
        <v>42734</v>
      </c>
      <c r="T1210" s="2">
        <v>42411</v>
      </c>
      <c r="U1210" s="4">
        <v>42471</v>
      </c>
      <c r="V1210" t="s">
        <v>71</v>
      </c>
      <c r="W1210" t="str">
        <f>"           000000110"</f>
        <v xml:space="preserve">           000000110</v>
      </c>
      <c r="X1210" s="1">
        <v>46723.78</v>
      </c>
      <c r="Y1210">
        <v>0</v>
      </c>
      <c r="Z1210" s="5">
        <v>23361.89</v>
      </c>
      <c r="AA1210" s="3">
        <v>345</v>
      </c>
      <c r="AB1210" s="5">
        <v>8059852.0499999998</v>
      </c>
      <c r="AC1210" s="1">
        <v>23361.89</v>
      </c>
      <c r="AD1210">
        <v>345</v>
      </c>
      <c r="AE1210" s="1">
        <v>8059852.0499999998</v>
      </c>
      <c r="AF1210" s="1">
        <v>23361.89</v>
      </c>
      <c r="AJ1210">
        <v>0</v>
      </c>
      <c r="AK1210">
        <v>0</v>
      </c>
      <c r="AL1210">
        <v>0</v>
      </c>
      <c r="AM1210">
        <v>0</v>
      </c>
      <c r="AN1210">
        <v>0</v>
      </c>
      <c r="AO1210">
        <v>0</v>
      </c>
      <c r="AP1210" s="2">
        <v>42831</v>
      </c>
      <c r="AQ1210" t="s">
        <v>72</v>
      </c>
      <c r="AR1210" t="s">
        <v>72</v>
      </c>
      <c r="AS1210">
        <v>887</v>
      </c>
      <c r="AT1210" s="4">
        <v>42816</v>
      </c>
      <c r="AU1210" t="s">
        <v>73</v>
      </c>
      <c r="AV1210">
        <v>887</v>
      </c>
      <c r="AW1210" s="4">
        <v>42816</v>
      </c>
      <c r="BD1210" s="1">
        <v>23361.89</v>
      </c>
      <c r="BN1210" t="s">
        <v>74</v>
      </c>
    </row>
    <row r="1211" spans="1:66">
      <c r="A1211">
        <v>101565</v>
      </c>
      <c r="B1211" t="s">
        <v>296</v>
      </c>
      <c r="C1211" s="1">
        <v>43300101</v>
      </c>
      <c r="D1211" t="s">
        <v>67</v>
      </c>
      <c r="H1211" t="str">
        <f t="shared" si="156"/>
        <v>02505630109</v>
      </c>
      <c r="I1211" t="str">
        <f t="shared" si="157"/>
        <v>02992620274</v>
      </c>
      <c r="K1211" t="str">
        <f>""</f>
        <v/>
      </c>
      <c r="M1211" t="s">
        <v>68</v>
      </c>
      <c r="N1211" t="str">
        <f t="shared" si="155"/>
        <v>FOR</v>
      </c>
      <c r="O1211" t="s">
        <v>69</v>
      </c>
      <c r="P1211" t="s">
        <v>75</v>
      </c>
      <c r="Q1211">
        <v>2016</v>
      </c>
      <c r="R1211" s="4">
        <v>42474</v>
      </c>
      <c r="S1211" s="2">
        <v>42734</v>
      </c>
      <c r="T1211" s="2">
        <v>42475</v>
      </c>
      <c r="U1211" s="4">
        <v>42535</v>
      </c>
      <c r="V1211" t="s">
        <v>71</v>
      </c>
      <c r="W1211" t="str">
        <f>"           000000365"</f>
        <v xml:space="preserve">           000000365</v>
      </c>
      <c r="X1211" s="1">
        <v>30557.05</v>
      </c>
      <c r="Y1211">
        <v>0</v>
      </c>
      <c r="Z1211" s="5">
        <v>15278.52</v>
      </c>
      <c r="AA1211" s="3">
        <v>281</v>
      </c>
      <c r="AB1211" s="5">
        <v>4293264.12</v>
      </c>
      <c r="AC1211" s="1">
        <v>15278.52</v>
      </c>
      <c r="AD1211">
        <v>281</v>
      </c>
      <c r="AE1211" s="1">
        <v>4293264.12</v>
      </c>
      <c r="AF1211" s="1">
        <v>15278.53</v>
      </c>
      <c r="AJ1211">
        <v>0</v>
      </c>
      <c r="AK1211">
        <v>0</v>
      </c>
      <c r="AL1211">
        <v>0</v>
      </c>
      <c r="AM1211">
        <v>0</v>
      </c>
      <c r="AN1211">
        <v>0</v>
      </c>
      <c r="AO1211">
        <v>0</v>
      </c>
      <c r="AP1211" s="2">
        <v>42831</v>
      </c>
      <c r="AQ1211" t="s">
        <v>72</v>
      </c>
      <c r="AR1211" t="s">
        <v>72</v>
      </c>
      <c r="AS1211">
        <v>887</v>
      </c>
      <c r="AT1211" s="4">
        <v>42816</v>
      </c>
      <c r="AU1211" t="s">
        <v>73</v>
      </c>
      <c r="AV1211">
        <v>887</v>
      </c>
      <c r="AW1211" s="4">
        <v>42816</v>
      </c>
      <c r="BD1211" s="1">
        <v>15278.53</v>
      </c>
      <c r="BN1211" t="s">
        <v>74</v>
      </c>
    </row>
    <row r="1212" spans="1:66">
      <c r="A1212">
        <v>101565</v>
      </c>
      <c r="B1212" t="s">
        <v>296</v>
      </c>
      <c r="C1212" s="1">
        <v>43300101</v>
      </c>
      <c r="D1212" t="s">
        <v>67</v>
      </c>
      <c r="H1212" t="str">
        <f t="shared" si="156"/>
        <v>02505630109</v>
      </c>
      <c r="I1212" t="str">
        <f t="shared" si="157"/>
        <v>02992620274</v>
      </c>
      <c r="K1212" t="str">
        <f>""</f>
        <v/>
      </c>
      <c r="M1212" t="s">
        <v>68</v>
      </c>
      <c r="N1212" t="str">
        <f t="shared" si="155"/>
        <v>FOR</v>
      </c>
      <c r="O1212" t="s">
        <v>69</v>
      </c>
      <c r="P1212" t="s">
        <v>75</v>
      </c>
      <c r="Q1212">
        <v>2016</v>
      </c>
      <c r="R1212" s="4">
        <v>42583</v>
      </c>
      <c r="S1212" s="2">
        <v>42734</v>
      </c>
      <c r="T1212" s="2">
        <v>42587</v>
      </c>
      <c r="U1212" s="4">
        <v>42647</v>
      </c>
      <c r="V1212" t="s">
        <v>71</v>
      </c>
      <c r="W1212" t="str">
        <f>"          RX16000633"</f>
        <v xml:space="preserve">          RX16000633</v>
      </c>
      <c r="X1212" s="1">
        <v>15868.2</v>
      </c>
      <c r="Y1212">
        <v>0</v>
      </c>
      <c r="Z1212" s="5">
        <v>7934.1</v>
      </c>
      <c r="AA1212" s="3">
        <v>169</v>
      </c>
      <c r="AB1212" s="5">
        <v>1340862.8999999999</v>
      </c>
      <c r="AC1212" s="1">
        <v>7934.1</v>
      </c>
      <c r="AD1212">
        <v>169</v>
      </c>
      <c r="AE1212" s="1">
        <v>1340862.8999999999</v>
      </c>
      <c r="AF1212" s="1">
        <v>7934.1</v>
      </c>
      <c r="AJ1212">
        <v>0</v>
      </c>
      <c r="AK1212">
        <v>0</v>
      </c>
      <c r="AL1212">
        <v>0</v>
      </c>
      <c r="AM1212">
        <v>0</v>
      </c>
      <c r="AN1212">
        <v>0</v>
      </c>
      <c r="AO1212">
        <v>0</v>
      </c>
      <c r="AP1212" s="2">
        <v>42831</v>
      </c>
      <c r="AQ1212" t="s">
        <v>72</v>
      </c>
      <c r="AR1212" t="s">
        <v>72</v>
      </c>
      <c r="AS1212">
        <v>887</v>
      </c>
      <c r="AT1212" s="4">
        <v>42816</v>
      </c>
      <c r="AU1212" t="s">
        <v>73</v>
      </c>
      <c r="AV1212">
        <v>887</v>
      </c>
      <c r="AW1212" s="4">
        <v>42816</v>
      </c>
      <c r="BC1212" s="1">
        <v>7934.1</v>
      </c>
      <c r="BD1212">
        <v>0</v>
      </c>
      <c r="BN1212" t="s">
        <v>74</v>
      </c>
    </row>
    <row r="1213" spans="1:66">
      <c r="A1213">
        <v>101565</v>
      </c>
      <c r="B1213" t="s">
        <v>296</v>
      </c>
      <c r="C1213" s="1">
        <v>43300101</v>
      </c>
      <c r="D1213" t="s">
        <v>67</v>
      </c>
      <c r="H1213" t="str">
        <f t="shared" si="156"/>
        <v>02505630109</v>
      </c>
      <c r="I1213" t="str">
        <f t="shared" si="157"/>
        <v>02992620274</v>
      </c>
      <c r="K1213" t="str">
        <f>""</f>
        <v/>
      </c>
      <c r="M1213" t="s">
        <v>68</v>
      </c>
      <c r="N1213" t="str">
        <f t="shared" si="155"/>
        <v>FOR</v>
      </c>
      <c r="O1213" t="s">
        <v>69</v>
      </c>
      <c r="P1213" t="s">
        <v>75</v>
      </c>
      <c r="Q1213">
        <v>2016</v>
      </c>
      <c r="R1213" s="4">
        <v>42677</v>
      </c>
      <c r="S1213" s="2">
        <v>42734</v>
      </c>
      <c r="T1213" s="2">
        <v>42677</v>
      </c>
      <c r="U1213" s="4">
        <v>42737</v>
      </c>
      <c r="V1213" t="s">
        <v>71</v>
      </c>
      <c r="W1213" t="str">
        <f>"          RX16000923"</f>
        <v xml:space="preserve">          RX16000923</v>
      </c>
      <c r="X1213" s="1">
        <v>4950.54</v>
      </c>
      <c r="Y1213">
        <v>0</v>
      </c>
      <c r="Z1213" s="5">
        <v>2475.27</v>
      </c>
      <c r="AA1213" s="3">
        <v>79</v>
      </c>
      <c r="AB1213" s="5">
        <v>195546.33</v>
      </c>
      <c r="AC1213" s="1">
        <v>2475.27</v>
      </c>
      <c r="AD1213">
        <v>79</v>
      </c>
      <c r="AE1213" s="1">
        <v>195546.33</v>
      </c>
      <c r="AF1213" s="1">
        <v>2475.27</v>
      </c>
      <c r="AJ1213">
        <v>0</v>
      </c>
      <c r="AK1213">
        <v>0</v>
      </c>
      <c r="AL1213">
        <v>0</v>
      </c>
      <c r="AM1213">
        <v>0</v>
      </c>
      <c r="AN1213">
        <v>0</v>
      </c>
      <c r="AO1213">
        <v>0</v>
      </c>
      <c r="AP1213" s="2">
        <v>42831</v>
      </c>
      <c r="AQ1213" t="s">
        <v>72</v>
      </c>
      <c r="AR1213" t="s">
        <v>72</v>
      </c>
      <c r="AS1213">
        <v>887</v>
      </c>
      <c r="AT1213" s="4">
        <v>42816</v>
      </c>
      <c r="AU1213" t="s">
        <v>73</v>
      </c>
      <c r="AV1213">
        <v>887</v>
      </c>
      <c r="AW1213" s="4">
        <v>42816</v>
      </c>
      <c r="AZ1213" s="1">
        <v>2475.27</v>
      </c>
      <c r="BD1213">
        <v>0</v>
      </c>
      <c r="BN1213" t="s">
        <v>74</v>
      </c>
    </row>
    <row r="1214" spans="1:66">
      <c r="A1214">
        <v>101570</v>
      </c>
      <c r="B1214" t="s">
        <v>297</v>
      </c>
      <c r="C1214" s="1">
        <v>43500101</v>
      </c>
      <c r="D1214" t="s">
        <v>98</v>
      </c>
      <c r="H1214" t="str">
        <f>"FRNDRS72E67Z133J"</f>
        <v>FRNDRS72E67Z133J</v>
      </c>
      <c r="I1214" t="str">
        <f>"01638330629"</f>
        <v>01638330629</v>
      </c>
      <c r="K1214" t="str">
        <f>""</f>
        <v/>
      </c>
      <c r="M1214" t="s">
        <v>68</v>
      </c>
      <c r="N1214" t="str">
        <f>"ALTPRO"</f>
        <v>ALTPRO</v>
      </c>
      <c r="O1214" t="s">
        <v>116</v>
      </c>
      <c r="P1214" t="s">
        <v>75</v>
      </c>
      <c r="Q1214">
        <v>2017</v>
      </c>
      <c r="R1214" s="4">
        <v>42745</v>
      </c>
      <c r="S1214" s="2">
        <v>42747</v>
      </c>
      <c r="T1214" s="2">
        <v>42745</v>
      </c>
      <c r="U1214" s="4">
        <v>42805</v>
      </c>
      <c r="V1214" t="s">
        <v>71</v>
      </c>
      <c r="W1214" t="str">
        <f>"         FATTPA 1_17"</f>
        <v xml:space="preserve">         FATTPA 1_17</v>
      </c>
      <c r="X1214">
        <v>735</v>
      </c>
      <c r="Y1214">
        <v>0</v>
      </c>
      <c r="Z1214" s="5">
        <v>735</v>
      </c>
      <c r="AA1214" s="3">
        <v>-40</v>
      </c>
      <c r="AB1214" s="5">
        <v>-29400</v>
      </c>
      <c r="AC1214">
        <v>735</v>
      </c>
      <c r="AD1214">
        <v>-40</v>
      </c>
      <c r="AE1214" s="1">
        <v>-29400</v>
      </c>
      <c r="AF1214">
        <v>0</v>
      </c>
      <c r="AJ1214">
        <v>735</v>
      </c>
      <c r="AK1214">
        <v>735</v>
      </c>
      <c r="AL1214">
        <v>735</v>
      </c>
      <c r="AM1214">
        <v>735</v>
      </c>
      <c r="AN1214">
        <v>735</v>
      </c>
      <c r="AO1214">
        <v>735</v>
      </c>
      <c r="AP1214" s="2">
        <v>42831</v>
      </c>
      <c r="AQ1214" t="s">
        <v>72</v>
      </c>
      <c r="AR1214" t="s">
        <v>72</v>
      </c>
      <c r="AS1214">
        <v>142</v>
      </c>
      <c r="AT1214" s="4">
        <v>42765</v>
      </c>
      <c r="AV1214">
        <v>142</v>
      </c>
      <c r="AW1214" s="4">
        <v>42765</v>
      </c>
      <c r="BD1214">
        <v>0</v>
      </c>
      <c r="BN1214" t="s">
        <v>74</v>
      </c>
    </row>
    <row r="1215" spans="1:66">
      <c r="A1215">
        <v>101570</v>
      </c>
      <c r="B1215" t="s">
        <v>297</v>
      </c>
      <c r="C1215" s="1">
        <v>43500101</v>
      </c>
      <c r="D1215" t="s">
        <v>98</v>
      </c>
      <c r="H1215" t="str">
        <f>"FRNDRS72E67Z133J"</f>
        <v>FRNDRS72E67Z133J</v>
      </c>
      <c r="I1215" t="str">
        <f>"01638330629"</f>
        <v>01638330629</v>
      </c>
      <c r="K1215" t="str">
        <f>""</f>
        <v/>
      </c>
      <c r="M1215" t="s">
        <v>68</v>
      </c>
      <c r="N1215" t="str">
        <f>"ALTPRO"</f>
        <v>ALTPRO</v>
      </c>
      <c r="O1215" t="s">
        <v>116</v>
      </c>
      <c r="P1215" t="s">
        <v>75</v>
      </c>
      <c r="Q1215">
        <v>2017</v>
      </c>
      <c r="R1215" s="4">
        <v>42767</v>
      </c>
      <c r="S1215" s="2">
        <v>42773</v>
      </c>
      <c r="T1215" s="2">
        <v>42767</v>
      </c>
      <c r="U1215" s="4">
        <v>42827</v>
      </c>
      <c r="V1215" t="s">
        <v>71</v>
      </c>
      <c r="W1215" t="str">
        <f>"         FATTPA 2_17"</f>
        <v xml:space="preserve">         FATTPA 2_17</v>
      </c>
      <c r="X1215">
        <v>735</v>
      </c>
      <c r="Y1215">
        <v>0</v>
      </c>
      <c r="Z1215" s="5">
        <v>735</v>
      </c>
      <c r="AA1215" s="3">
        <v>-47</v>
      </c>
      <c r="AB1215" s="5">
        <v>-34545</v>
      </c>
      <c r="AC1215">
        <v>735</v>
      </c>
      <c r="AD1215">
        <v>-47</v>
      </c>
      <c r="AE1215" s="1">
        <v>-34545</v>
      </c>
      <c r="AF1215">
        <v>0</v>
      </c>
      <c r="AJ1215">
        <v>735</v>
      </c>
      <c r="AK1215">
        <v>735</v>
      </c>
      <c r="AL1215">
        <v>735</v>
      </c>
      <c r="AM1215">
        <v>735</v>
      </c>
      <c r="AN1215">
        <v>735</v>
      </c>
      <c r="AO1215">
        <v>735</v>
      </c>
      <c r="AP1215" s="2">
        <v>42831</v>
      </c>
      <c r="AQ1215" t="s">
        <v>72</v>
      </c>
      <c r="AR1215" t="s">
        <v>72</v>
      </c>
      <c r="AS1215">
        <v>430</v>
      </c>
      <c r="AT1215" s="4">
        <v>42780</v>
      </c>
      <c r="AV1215">
        <v>430</v>
      </c>
      <c r="AW1215" s="4">
        <v>42780</v>
      </c>
      <c r="BD1215">
        <v>0</v>
      </c>
      <c r="BN1215" t="s">
        <v>74</v>
      </c>
    </row>
    <row r="1216" spans="1:66">
      <c r="A1216">
        <v>101570</v>
      </c>
      <c r="B1216" t="s">
        <v>297</v>
      </c>
      <c r="C1216" s="1">
        <v>43500101</v>
      </c>
      <c r="D1216" t="s">
        <v>98</v>
      </c>
      <c r="H1216" t="str">
        <f>"FRNDRS72E67Z133J"</f>
        <v>FRNDRS72E67Z133J</v>
      </c>
      <c r="I1216" t="str">
        <f>"01638330629"</f>
        <v>01638330629</v>
      </c>
      <c r="K1216" t="str">
        <f>""</f>
        <v/>
      </c>
      <c r="M1216" t="s">
        <v>68</v>
      </c>
      <c r="N1216" t="str">
        <f>"ALTPRO"</f>
        <v>ALTPRO</v>
      </c>
      <c r="O1216" t="s">
        <v>116</v>
      </c>
      <c r="P1216" t="s">
        <v>75</v>
      </c>
      <c r="Q1216">
        <v>2017</v>
      </c>
      <c r="R1216" s="4">
        <v>42795</v>
      </c>
      <c r="S1216" s="2">
        <v>42796</v>
      </c>
      <c r="T1216" s="2">
        <v>42795</v>
      </c>
      <c r="U1216" s="4">
        <v>42855</v>
      </c>
      <c r="V1216" t="s">
        <v>71</v>
      </c>
      <c r="W1216" t="str">
        <f>"         FATTPA 3_17"</f>
        <v xml:space="preserve">         FATTPA 3_17</v>
      </c>
      <c r="X1216">
        <v>735</v>
      </c>
      <c r="Y1216">
        <v>0</v>
      </c>
      <c r="Z1216" s="5">
        <v>735</v>
      </c>
      <c r="AA1216" s="3">
        <v>-46</v>
      </c>
      <c r="AB1216" s="5">
        <v>-33810</v>
      </c>
      <c r="AC1216">
        <v>735</v>
      </c>
      <c r="AD1216">
        <v>-46</v>
      </c>
      <c r="AE1216" s="1">
        <v>-33810</v>
      </c>
      <c r="AF1216">
        <v>0</v>
      </c>
      <c r="AJ1216">
        <v>735</v>
      </c>
      <c r="AK1216">
        <v>735</v>
      </c>
      <c r="AL1216">
        <v>735</v>
      </c>
      <c r="AM1216">
        <v>735</v>
      </c>
      <c r="AN1216">
        <v>735</v>
      </c>
      <c r="AO1216">
        <v>735</v>
      </c>
      <c r="AP1216" s="2">
        <v>42831</v>
      </c>
      <c r="AQ1216" t="s">
        <v>72</v>
      </c>
      <c r="AR1216" t="s">
        <v>72</v>
      </c>
      <c r="AS1216">
        <v>769</v>
      </c>
      <c r="AT1216" s="4">
        <v>42809</v>
      </c>
      <c r="AV1216">
        <v>769</v>
      </c>
      <c r="AW1216" s="4">
        <v>42809</v>
      </c>
      <c r="BD1216">
        <v>0</v>
      </c>
      <c r="BN1216" t="s">
        <v>74</v>
      </c>
    </row>
    <row r="1217" spans="1:66">
      <c r="A1217">
        <v>101574</v>
      </c>
      <c r="B1217" t="s">
        <v>298</v>
      </c>
      <c r="C1217" s="1">
        <v>43300101</v>
      </c>
      <c r="D1217" t="s">
        <v>67</v>
      </c>
      <c r="H1217" t="str">
        <f>"02404790392"</f>
        <v>02404790392</v>
      </c>
      <c r="I1217" t="str">
        <f>"02404790392"</f>
        <v>02404790392</v>
      </c>
      <c r="K1217" t="str">
        <f>""</f>
        <v/>
      </c>
      <c r="M1217" t="s">
        <v>68</v>
      </c>
      <c r="N1217" t="str">
        <f>"FOR"</f>
        <v>FOR</v>
      </c>
      <c r="O1217" t="s">
        <v>69</v>
      </c>
      <c r="P1217" t="s">
        <v>75</v>
      </c>
      <c r="Q1217">
        <v>2016</v>
      </c>
      <c r="R1217" s="4">
        <v>42541</v>
      </c>
      <c r="S1217" s="2">
        <v>42542</v>
      </c>
      <c r="T1217" s="2">
        <v>42541</v>
      </c>
      <c r="U1217" s="4">
        <v>42601</v>
      </c>
      <c r="V1217" t="s">
        <v>71</v>
      </c>
      <c r="W1217" t="str">
        <f>"             196 P16"</f>
        <v xml:space="preserve">             196 P16</v>
      </c>
      <c r="X1217">
        <v>610</v>
      </c>
      <c r="Y1217">
        <v>0</v>
      </c>
      <c r="Z1217" s="5">
        <v>500</v>
      </c>
      <c r="AA1217" s="3">
        <v>167</v>
      </c>
      <c r="AB1217" s="5">
        <v>83500</v>
      </c>
      <c r="AC1217">
        <v>500</v>
      </c>
      <c r="AD1217">
        <v>167</v>
      </c>
      <c r="AE1217" s="1">
        <v>83500</v>
      </c>
      <c r="AF1217">
        <v>0</v>
      </c>
      <c r="AJ1217">
        <v>0</v>
      </c>
      <c r="AK1217">
        <v>0</v>
      </c>
      <c r="AL1217">
        <v>0</v>
      </c>
      <c r="AM1217">
        <v>0</v>
      </c>
      <c r="AN1217">
        <v>0</v>
      </c>
      <c r="AO1217">
        <v>0</v>
      </c>
      <c r="AP1217" s="2">
        <v>42831</v>
      </c>
      <c r="AQ1217" t="s">
        <v>72</v>
      </c>
      <c r="AR1217" t="s">
        <v>72</v>
      </c>
      <c r="AS1217">
        <v>237</v>
      </c>
      <c r="AT1217" s="4">
        <v>42768</v>
      </c>
      <c r="AU1217" t="s">
        <v>73</v>
      </c>
      <c r="AV1217">
        <v>237</v>
      </c>
      <c r="AW1217" s="4">
        <v>42768</v>
      </c>
      <c r="BD1217">
        <v>0</v>
      </c>
      <c r="BN1217" t="s">
        <v>74</v>
      </c>
    </row>
    <row r="1218" spans="1:66">
      <c r="A1218">
        <v>101584</v>
      </c>
      <c r="B1218" t="s">
        <v>299</v>
      </c>
      <c r="C1218" s="1">
        <v>43300101</v>
      </c>
      <c r="D1218" t="s">
        <v>67</v>
      </c>
      <c r="H1218" t="str">
        <f>""</f>
        <v/>
      </c>
      <c r="I1218" t="str">
        <f>"02574090276"</f>
        <v>02574090276</v>
      </c>
      <c r="K1218" t="str">
        <f>""</f>
        <v/>
      </c>
      <c r="M1218" t="s">
        <v>68</v>
      </c>
      <c r="N1218" t="str">
        <f>"FOR"</f>
        <v>FOR</v>
      </c>
      <c r="O1218" t="s">
        <v>69</v>
      </c>
      <c r="P1218" t="s">
        <v>75</v>
      </c>
      <c r="Q1218">
        <v>2016</v>
      </c>
      <c r="R1218" s="4">
        <v>42440</v>
      </c>
      <c r="S1218" s="2">
        <v>42445</v>
      </c>
      <c r="T1218" s="2">
        <v>42444</v>
      </c>
      <c r="U1218" s="4">
        <v>42504</v>
      </c>
      <c r="V1218" t="s">
        <v>71</v>
      </c>
      <c r="W1218" t="str">
        <f>"           000025/EC"</f>
        <v xml:space="preserve">           000025/EC</v>
      </c>
      <c r="X1218" s="1">
        <v>1711.66</v>
      </c>
      <c r="Y1218">
        <v>0</v>
      </c>
      <c r="Z1218" s="5">
        <v>1403</v>
      </c>
      <c r="AA1218" s="3">
        <v>264</v>
      </c>
      <c r="AB1218" s="5">
        <v>370392</v>
      </c>
      <c r="AC1218" s="1">
        <v>1403</v>
      </c>
      <c r="AD1218">
        <v>264</v>
      </c>
      <c r="AE1218" s="1">
        <v>370392</v>
      </c>
      <c r="AF1218">
        <v>0</v>
      </c>
      <c r="AJ1218">
        <v>0</v>
      </c>
      <c r="AK1218">
        <v>0</v>
      </c>
      <c r="AL1218">
        <v>0</v>
      </c>
      <c r="AM1218">
        <v>0</v>
      </c>
      <c r="AN1218">
        <v>0</v>
      </c>
      <c r="AO1218">
        <v>0</v>
      </c>
      <c r="AP1218" s="2">
        <v>42831</v>
      </c>
      <c r="AQ1218" t="s">
        <v>72</v>
      </c>
      <c r="AR1218" t="s">
        <v>72</v>
      </c>
      <c r="AS1218">
        <v>225</v>
      </c>
      <c r="AT1218" s="4">
        <v>42768</v>
      </c>
      <c r="AU1218" t="s">
        <v>73</v>
      </c>
      <c r="AV1218">
        <v>225</v>
      </c>
      <c r="AW1218" s="4">
        <v>42768</v>
      </c>
      <c r="BD1218">
        <v>0</v>
      </c>
      <c r="BN1218" t="s">
        <v>74</v>
      </c>
    </row>
    <row r="1219" spans="1:66" hidden="1">
      <c r="A1219">
        <v>101585</v>
      </c>
      <c r="B1219" t="s">
        <v>300</v>
      </c>
      <c r="C1219" s="1">
        <v>43500101</v>
      </c>
      <c r="D1219" t="s">
        <v>98</v>
      </c>
      <c r="H1219" t="str">
        <f t="shared" ref="H1219:I1221" si="158">"11210661002"</f>
        <v>11210661002</v>
      </c>
      <c r="I1219" t="str">
        <f t="shared" si="158"/>
        <v>11210661002</v>
      </c>
      <c r="K1219" t="str">
        <f>""</f>
        <v/>
      </c>
      <c r="M1219" t="s">
        <v>68</v>
      </c>
      <c r="N1219" t="str">
        <f>"ALT"</f>
        <v>ALT</v>
      </c>
      <c r="O1219" t="s">
        <v>99</v>
      </c>
      <c r="P1219" t="s">
        <v>82</v>
      </c>
      <c r="Q1219">
        <v>2017</v>
      </c>
      <c r="R1219" s="4">
        <v>42755</v>
      </c>
      <c r="S1219" s="2">
        <v>42755</v>
      </c>
      <c r="T1219" s="2">
        <v>42755</v>
      </c>
      <c r="U1219" s="4">
        <v>42815</v>
      </c>
      <c r="V1219" t="s">
        <v>71</v>
      </c>
      <c r="W1219" t="str">
        <f>"                0120"</f>
        <v xml:space="preserve">                0120</v>
      </c>
      <c r="X1219">
        <v>0</v>
      </c>
      <c r="Y1219" s="1">
        <v>1000</v>
      </c>
      <c r="Z1219" s="5">
        <v>1000</v>
      </c>
      <c r="AA1219" s="3">
        <v>-57</v>
      </c>
      <c r="AB1219" s="5">
        <v>-57000</v>
      </c>
      <c r="AC1219" s="1">
        <v>1000</v>
      </c>
      <c r="AD1219">
        <v>-57</v>
      </c>
      <c r="AE1219" s="1">
        <v>-57000</v>
      </c>
      <c r="AF1219">
        <v>0</v>
      </c>
      <c r="AJ1219" s="1">
        <v>1000</v>
      </c>
      <c r="AK1219" s="1">
        <v>1000</v>
      </c>
      <c r="AL1219" s="1">
        <v>1000</v>
      </c>
      <c r="AM1219" s="1">
        <v>1000</v>
      </c>
      <c r="AN1219" s="1">
        <v>1000</v>
      </c>
      <c r="AO1219" s="1">
        <v>1000</v>
      </c>
      <c r="AP1219" s="2">
        <v>42831</v>
      </c>
      <c r="AQ1219" t="s">
        <v>72</v>
      </c>
      <c r="AR1219" t="s">
        <v>72</v>
      </c>
      <c r="AS1219">
        <v>59</v>
      </c>
      <c r="AT1219" s="4">
        <v>42758</v>
      </c>
      <c r="AV1219">
        <v>59</v>
      </c>
      <c r="AW1219" s="4">
        <v>42758</v>
      </c>
      <c r="BD1219">
        <v>0</v>
      </c>
      <c r="BN1219" t="s">
        <v>74</v>
      </c>
    </row>
    <row r="1220" spans="1:66" hidden="1">
      <c r="A1220">
        <v>101585</v>
      </c>
      <c r="B1220" t="s">
        <v>300</v>
      </c>
      <c r="C1220" s="1">
        <v>43500101</v>
      </c>
      <c r="D1220" t="s">
        <v>98</v>
      </c>
      <c r="H1220" t="str">
        <f t="shared" si="158"/>
        <v>11210661002</v>
      </c>
      <c r="I1220" t="str">
        <f t="shared" si="158"/>
        <v>11210661002</v>
      </c>
      <c r="K1220" t="str">
        <f>""</f>
        <v/>
      </c>
      <c r="M1220" t="s">
        <v>68</v>
      </c>
      <c r="N1220" t="str">
        <f>"ALT"</f>
        <v>ALT</v>
      </c>
      <c r="O1220" t="s">
        <v>99</v>
      </c>
      <c r="P1220" t="s">
        <v>83</v>
      </c>
      <c r="Q1220">
        <v>2017</v>
      </c>
      <c r="R1220" s="4">
        <v>42786</v>
      </c>
      <c r="S1220" s="2">
        <v>42787</v>
      </c>
      <c r="T1220" s="2">
        <v>42787</v>
      </c>
      <c r="U1220" s="4">
        <v>42847</v>
      </c>
      <c r="V1220" t="s">
        <v>71</v>
      </c>
      <c r="W1220" t="str">
        <f>"                0220"</f>
        <v xml:space="preserve">                0220</v>
      </c>
      <c r="X1220">
        <v>0</v>
      </c>
      <c r="Y1220" s="1">
        <v>1000</v>
      </c>
      <c r="Z1220" s="5">
        <v>1000</v>
      </c>
      <c r="AA1220" s="3">
        <v>-60</v>
      </c>
      <c r="AB1220" s="5">
        <v>-60000</v>
      </c>
      <c r="AC1220" s="1">
        <v>1000</v>
      </c>
      <c r="AD1220">
        <v>-60</v>
      </c>
      <c r="AE1220" s="1">
        <v>-60000</v>
      </c>
      <c r="AF1220">
        <v>0</v>
      </c>
      <c r="AJ1220" s="1">
        <v>1000</v>
      </c>
      <c r="AK1220" s="1">
        <v>1000</v>
      </c>
      <c r="AL1220" s="1">
        <v>1000</v>
      </c>
      <c r="AM1220" s="1">
        <v>1000</v>
      </c>
      <c r="AN1220" s="1">
        <v>1000</v>
      </c>
      <c r="AO1220" s="1">
        <v>1000</v>
      </c>
      <c r="AP1220" s="2">
        <v>42831</v>
      </c>
      <c r="AQ1220" t="s">
        <v>72</v>
      </c>
      <c r="AR1220" t="s">
        <v>72</v>
      </c>
      <c r="AS1220">
        <v>539</v>
      </c>
      <c r="AT1220" s="4">
        <v>42787</v>
      </c>
      <c r="AV1220">
        <v>539</v>
      </c>
      <c r="AW1220" s="4">
        <v>42787</v>
      </c>
      <c r="BD1220">
        <v>0</v>
      </c>
      <c r="BN1220" t="s">
        <v>74</v>
      </c>
    </row>
    <row r="1221" spans="1:66" hidden="1">
      <c r="A1221">
        <v>101585</v>
      </c>
      <c r="B1221" t="s">
        <v>300</v>
      </c>
      <c r="C1221" s="1">
        <v>43500101</v>
      </c>
      <c r="D1221" t="s">
        <v>98</v>
      </c>
      <c r="H1221" t="str">
        <f t="shared" si="158"/>
        <v>11210661002</v>
      </c>
      <c r="I1221" t="str">
        <f t="shared" si="158"/>
        <v>11210661002</v>
      </c>
      <c r="K1221" t="str">
        <f>""</f>
        <v/>
      </c>
      <c r="M1221" t="s">
        <v>68</v>
      </c>
      <c r="N1221" t="str">
        <f>"ALT"</f>
        <v>ALT</v>
      </c>
      <c r="O1221" t="s">
        <v>99</v>
      </c>
      <c r="P1221" t="s">
        <v>84</v>
      </c>
      <c r="Q1221">
        <v>2017</v>
      </c>
      <c r="R1221" s="4">
        <v>42815</v>
      </c>
      <c r="S1221" s="2">
        <v>42815</v>
      </c>
      <c r="T1221" s="2">
        <v>42815</v>
      </c>
      <c r="U1221" s="4">
        <v>42875</v>
      </c>
      <c r="V1221" t="s">
        <v>71</v>
      </c>
      <c r="W1221" t="str">
        <f>"                0321"</f>
        <v xml:space="preserve">                0321</v>
      </c>
      <c r="X1221">
        <v>0</v>
      </c>
      <c r="Y1221" s="1">
        <v>1000</v>
      </c>
      <c r="Z1221" s="5">
        <v>1000</v>
      </c>
      <c r="AA1221" s="3">
        <v>-60</v>
      </c>
      <c r="AB1221" s="5">
        <v>-60000</v>
      </c>
      <c r="AC1221" s="1">
        <v>1000</v>
      </c>
      <c r="AD1221">
        <v>-60</v>
      </c>
      <c r="AE1221" s="1">
        <v>-60000</v>
      </c>
      <c r="AF1221">
        <v>0</v>
      </c>
      <c r="AJ1221" s="1">
        <v>1000</v>
      </c>
      <c r="AK1221" s="1">
        <v>1000</v>
      </c>
      <c r="AL1221" s="1">
        <v>1000</v>
      </c>
      <c r="AM1221" s="1">
        <v>1000</v>
      </c>
      <c r="AN1221" s="1">
        <v>1000</v>
      </c>
      <c r="AO1221" s="1">
        <v>1000</v>
      </c>
      <c r="AP1221" s="2">
        <v>42831</v>
      </c>
      <c r="AQ1221" t="s">
        <v>72</v>
      </c>
      <c r="AR1221" t="s">
        <v>72</v>
      </c>
      <c r="AS1221">
        <v>836</v>
      </c>
      <c r="AT1221" s="4">
        <v>42815</v>
      </c>
      <c r="AV1221">
        <v>836</v>
      </c>
      <c r="AW1221" s="4">
        <v>42815</v>
      </c>
      <c r="BD1221">
        <v>0</v>
      </c>
      <c r="BN1221" t="s">
        <v>74</v>
      </c>
    </row>
    <row r="1222" spans="1:66">
      <c r="A1222">
        <v>101586</v>
      </c>
      <c r="B1222" t="s">
        <v>301</v>
      </c>
      <c r="C1222" s="1">
        <v>43300101</v>
      </c>
      <c r="D1222" t="s">
        <v>67</v>
      </c>
      <c r="H1222" t="str">
        <f t="shared" ref="H1222:I1240" si="159">"05102540019"</f>
        <v>05102540019</v>
      </c>
      <c r="I1222" t="str">
        <f t="shared" si="159"/>
        <v>05102540019</v>
      </c>
      <c r="K1222" t="str">
        <f>""</f>
        <v/>
      </c>
      <c r="M1222" t="s">
        <v>68</v>
      </c>
      <c r="N1222" t="str">
        <f t="shared" ref="N1222:N1243" si="160">"FOR"</f>
        <v>FOR</v>
      </c>
      <c r="O1222" t="s">
        <v>69</v>
      </c>
      <c r="P1222" t="s">
        <v>75</v>
      </c>
      <c r="Q1222">
        <v>2016</v>
      </c>
      <c r="R1222" s="4">
        <v>42433</v>
      </c>
      <c r="S1222" s="2">
        <v>42436</v>
      </c>
      <c r="T1222" s="2">
        <v>42433</v>
      </c>
      <c r="U1222" s="4">
        <v>42493</v>
      </c>
      <c r="V1222" t="s">
        <v>71</v>
      </c>
      <c r="W1222" t="str">
        <f>"               661/F"</f>
        <v xml:space="preserve">               661/F</v>
      </c>
      <c r="X1222" s="1">
        <v>1427.4</v>
      </c>
      <c r="Y1222">
        <v>0</v>
      </c>
      <c r="Z1222" s="5">
        <v>1170</v>
      </c>
      <c r="AA1222" s="3">
        <v>273</v>
      </c>
      <c r="AB1222" s="5">
        <v>319410</v>
      </c>
      <c r="AC1222" s="1">
        <v>1170</v>
      </c>
      <c r="AD1222">
        <v>273</v>
      </c>
      <c r="AE1222" s="1">
        <v>319410</v>
      </c>
      <c r="AF1222">
        <v>0</v>
      </c>
      <c r="AJ1222">
        <v>0</v>
      </c>
      <c r="AK1222">
        <v>0</v>
      </c>
      <c r="AL1222">
        <v>0</v>
      </c>
      <c r="AM1222">
        <v>0</v>
      </c>
      <c r="AN1222">
        <v>0</v>
      </c>
      <c r="AO1222">
        <v>0</v>
      </c>
      <c r="AP1222" s="2">
        <v>42831</v>
      </c>
      <c r="AQ1222" t="s">
        <v>72</v>
      </c>
      <c r="AR1222" t="s">
        <v>72</v>
      </c>
      <c r="AS1222">
        <v>170</v>
      </c>
      <c r="AT1222" s="4">
        <v>42766</v>
      </c>
      <c r="AU1222" t="s">
        <v>73</v>
      </c>
      <c r="AV1222">
        <v>170</v>
      </c>
      <c r="AW1222" s="4">
        <v>42766</v>
      </c>
      <c r="BD1222">
        <v>0</v>
      </c>
      <c r="BN1222" t="s">
        <v>74</v>
      </c>
    </row>
    <row r="1223" spans="1:66">
      <c r="A1223">
        <v>101586</v>
      </c>
      <c r="B1223" t="s">
        <v>301</v>
      </c>
      <c r="C1223" s="1">
        <v>43300101</v>
      </c>
      <c r="D1223" t="s">
        <v>67</v>
      </c>
      <c r="H1223" t="str">
        <f t="shared" si="159"/>
        <v>05102540019</v>
      </c>
      <c r="I1223" t="str">
        <f t="shared" si="159"/>
        <v>05102540019</v>
      </c>
      <c r="K1223" t="str">
        <f>""</f>
        <v/>
      </c>
      <c r="M1223" t="s">
        <v>68</v>
      </c>
      <c r="N1223" t="str">
        <f t="shared" si="160"/>
        <v>FOR</v>
      </c>
      <c r="O1223" t="s">
        <v>69</v>
      </c>
      <c r="P1223" t="s">
        <v>75</v>
      </c>
      <c r="Q1223">
        <v>2016</v>
      </c>
      <c r="R1223" s="4">
        <v>42438</v>
      </c>
      <c r="S1223" s="2">
        <v>42446</v>
      </c>
      <c r="T1223" s="2">
        <v>42445</v>
      </c>
      <c r="U1223" s="4">
        <v>42505</v>
      </c>
      <c r="V1223" t="s">
        <v>71</v>
      </c>
      <c r="W1223" t="str">
        <f>"               720/F"</f>
        <v xml:space="preserve">               720/F</v>
      </c>
      <c r="X1223" s="1">
        <v>1738.5</v>
      </c>
      <c r="Y1223">
        <v>0</v>
      </c>
      <c r="Z1223" s="5">
        <v>1425</v>
      </c>
      <c r="AA1223" s="3">
        <v>261</v>
      </c>
      <c r="AB1223" s="5">
        <v>371925</v>
      </c>
      <c r="AC1223" s="1">
        <v>1425</v>
      </c>
      <c r="AD1223">
        <v>261</v>
      </c>
      <c r="AE1223" s="1">
        <v>371925</v>
      </c>
      <c r="AF1223">
        <v>0</v>
      </c>
      <c r="AJ1223">
        <v>0</v>
      </c>
      <c r="AK1223">
        <v>0</v>
      </c>
      <c r="AL1223">
        <v>0</v>
      </c>
      <c r="AM1223">
        <v>0</v>
      </c>
      <c r="AN1223">
        <v>0</v>
      </c>
      <c r="AO1223">
        <v>0</v>
      </c>
      <c r="AP1223" s="2">
        <v>42831</v>
      </c>
      <c r="AQ1223" t="s">
        <v>72</v>
      </c>
      <c r="AR1223" t="s">
        <v>72</v>
      </c>
      <c r="AS1223">
        <v>170</v>
      </c>
      <c r="AT1223" s="4">
        <v>42766</v>
      </c>
      <c r="AU1223" t="s">
        <v>73</v>
      </c>
      <c r="AV1223">
        <v>170</v>
      </c>
      <c r="AW1223" s="4">
        <v>42766</v>
      </c>
      <c r="BD1223">
        <v>0</v>
      </c>
      <c r="BN1223" t="s">
        <v>74</v>
      </c>
    </row>
    <row r="1224" spans="1:66">
      <c r="A1224">
        <v>101586</v>
      </c>
      <c r="B1224" t="s">
        <v>301</v>
      </c>
      <c r="C1224" s="1">
        <v>43300101</v>
      </c>
      <c r="D1224" t="s">
        <v>67</v>
      </c>
      <c r="H1224" t="str">
        <f t="shared" si="159"/>
        <v>05102540019</v>
      </c>
      <c r="I1224" t="str">
        <f t="shared" si="159"/>
        <v>05102540019</v>
      </c>
      <c r="K1224" t="str">
        <f>""</f>
        <v/>
      </c>
      <c r="M1224" t="s">
        <v>68</v>
      </c>
      <c r="N1224" t="str">
        <f t="shared" si="160"/>
        <v>FOR</v>
      </c>
      <c r="O1224" t="s">
        <v>69</v>
      </c>
      <c r="P1224" t="s">
        <v>75</v>
      </c>
      <c r="Q1224">
        <v>2016</v>
      </c>
      <c r="R1224" s="4">
        <v>42445</v>
      </c>
      <c r="S1224" s="2">
        <v>42446</v>
      </c>
      <c r="T1224" s="2">
        <v>42446</v>
      </c>
      <c r="U1224" s="4">
        <v>42506</v>
      </c>
      <c r="V1224" t="s">
        <v>71</v>
      </c>
      <c r="W1224" t="str">
        <f>"               778/F"</f>
        <v xml:space="preserve">               778/F</v>
      </c>
      <c r="X1224">
        <v>475.8</v>
      </c>
      <c r="Y1224">
        <v>0</v>
      </c>
      <c r="Z1224" s="5">
        <v>390</v>
      </c>
      <c r="AA1224" s="3">
        <v>260</v>
      </c>
      <c r="AB1224" s="5">
        <v>101400</v>
      </c>
      <c r="AC1224">
        <v>390</v>
      </c>
      <c r="AD1224">
        <v>260</v>
      </c>
      <c r="AE1224" s="1">
        <v>101400</v>
      </c>
      <c r="AF1224">
        <v>0</v>
      </c>
      <c r="AJ1224">
        <v>0</v>
      </c>
      <c r="AK1224">
        <v>0</v>
      </c>
      <c r="AL1224">
        <v>0</v>
      </c>
      <c r="AM1224">
        <v>0</v>
      </c>
      <c r="AN1224">
        <v>0</v>
      </c>
      <c r="AO1224">
        <v>0</v>
      </c>
      <c r="AP1224" s="2">
        <v>42831</v>
      </c>
      <c r="AQ1224" t="s">
        <v>72</v>
      </c>
      <c r="AR1224" t="s">
        <v>72</v>
      </c>
      <c r="AS1224">
        <v>170</v>
      </c>
      <c r="AT1224" s="4">
        <v>42766</v>
      </c>
      <c r="AU1224" t="s">
        <v>73</v>
      </c>
      <c r="AV1224">
        <v>170</v>
      </c>
      <c r="AW1224" s="4">
        <v>42766</v>
      </c>
      <c r="BD1224">
        <v>0</v>
      </c>
      <c r="BN1224" t="s">
        <v>74</v>
      </c>
    </row>
    <row r="1225" spans="1:66">
      <c r="A1225">
        <v>101586</v>
      </c>
      <c r="B1225" t="s">
        <v>301</v>
      </c>
      <c r="C1225" s="1">
        <v>43300101</v>
      </c>
      <c r="D1225" t="s">
        <v>67</v>
      </c>
      <c r="H1225" t="str">
        <f t="shared" si="159"/>
        <v>05102540019</v>
      </c>
      <c r="I1225" t="str">
        <f t="shared" si="159"/>
        <v>05102540019</v>
      </c>
      <c r="K1225" t="str">
        <f>""</f>
        <v/>
      </c>
      <c r="M1225" t="s">
        <v>68</v>
      </c>
      <c r="N1225" t="str">
        <f t="shared" si="160"/>
        <v>FOR</v>
      </c>
      <c r="O1225" t="s">
        <v>69</v>
      </c>
      <c r="P1225" t="s">
        <v>75</v>
      </c>
      <c r="Q1225">
        <v>2016</v>
      </c>
      <c r="R1225" s="4">
        <v>42460</v>
      </c>
      <c r="S1225" s="2">
        <v>42473</v>
      </c>
      <c r="T1225" s="2">
        <v>42467</v>
      </c>
      <c r="U1225" s="4">
        <v>42527</v>
      </c>
      <c r="V1225" t="s">
        <v>71</v>
      </c>
      <c r="W1225" t="str">
        <f>"               995/F"</f>
        <v xml:space="preserve">               995/F</v>
      </c>
      <c r="X1225" s="1">
        <v>1427.4</v>
      </c>
      <c r="Y1225">
        <v>0</v>
      </c>
      <c r="Z1225" s="5">
        <v>1170</v>
      </c>
      <c r="AA1225" s="3">
        <v>239</v>
      </c>
      <c r="AB1225" s="5">
        <v>279630</v>
      </c>
      <c r="AC1225" s="1">
        <v>1170</v>
      </c>
      <c r="AD1225">
        <v>239</v>
      </c>
      <c r="AE1225" s="1">
        <v>279630</v>
      </c>
      <c r="AF1225">
        <v>0</v>
      </c>
      <c r="AJ1225">
        <v>0</v>
      </c>
      <c r="AK1225">
        <v>0</v>
      </c>
      <c r="AL1225">
        <v>0</v>
      </c>
      <c r="AM1225">
        <v>0</v>
      </c>
      <c r="AN1225">
        <v>0</v>
      </c>
      <c r="AO1225">
        <v>0</v>
      </c>
      <c r="AP1225" s="2">
        <v>42831</v>
      </c>
      <c r="AQ1225" t="s">
        <v>72</v>
      </c>
      <c r="AR1225" t="s">
        <v>72</v>
      </c>
      <c r="AS1225">
        <v>170</v>
      </c>
      <c r="AT1225" s="4">
        <v>42766</v>
      </c>
      <c r="AU1225" t="s">
        <v>73</v>
      </c>
      <c r="AV1225">
        <v>170</v>
      </c>
      <c r="AW1225" s="4">
        <v>42766</v>
      </c>
      <c r="BD1225">
        <v>0</v>
      </c>
      <c r="BN1225" t="s">
        <v>74</v>
      </c>
    </row>
    <row r="1226" spans="1:66">
      <c r="A1226">
        <v>101586</v>
      </c>
      <c r="B1226" t="s">
        <v>301</v>
      </c>
      <c r="C1226" s="1">
        <v>43300101</v>
      </c>
      <c r="D1226" t="s">
        <v>67</v>
      </c>
      <c r="H1226" t="str">
        <f t="shared" si="159"/>
        <v>05102540019</v>
      </c>
      <c r="I1226" t="str">
        <f t="shared" si="159"/>
        <v>05102540019</v>
      </c>
      <c r="K1226" t="str">
        <f>""</f>
        <v/>
      </c>
      <c r="M1226" t="s">
        <v>68</v>
      </c>
      <c r="N1226" t="str">
        <f t="shared" si="160"/>
        <v>FOR</v>
      </c>
      <c r="O1226" t="s">
        <v>69</v>
      </c>
      <c r="P1226" t="s">
        <v>75</v>
      </c>
      <c r="Q1226">
        <v>2016</v>
      </c>
      <c r="R1226" s="4">
        <v>42460</v>
      </c>
      <c r="S1226" s="2">
        <v>42473</v>
      </c>
      <c r="T1226" s="2">
        <v>42467</v>
      </c>
      <c r="U1226" s="4">
        <v>42527</v>
      </c>
      <c r="V1226" t="s">
        <v>71</v>
      </c>
      <c r="W1226" t="str">
        <f>"              1010/F"</f>
        <v xml:space="preserve">              1010/F</v>
      </c>
      <c r="X1226" s="1">
        <v>2055.6999999999998</v>
      </c>
      <c r="Y1226">
        <v>0</v>
      </c>
      <c r="Z1226" s="5">
        <v>1685</v>
      </c>
      <c r="AA1226" s="3">
        <v>239</v>
      </c>
      <c r="AB1226" s="5">
        <v>402715</v>
      </c>
      <c r="AC1226" s="1">
        <v>1685</v>
      </c>
      <c r="AD1226">
        <v>239</v>
      </c>
      <c r="AE1226" s="1">
        <v>402715</v>
      </c>
      <c r="AF1226">
        <v>0</v>
      </c>
      <c r="AJ1226">
        <v>0</v>
      </c>
      <c r="AK1226">
        <v>0</v>
      </c>
      <c r="AL1226">
        <v>0</v>
      </c>
      <c r="AM1226">
        <v>0</v>
      </c>
      <c r="AN1226">
        <v>0</v>
      </c>
      <c r="AO1226">
        <v>0</v>
      </c>
      <c r="AP1226" s="2">
        <v>42831</v>
      </c>
      <c r="AQ1226" t="s">
        <v>72</v>
      </c>
      <c r="AR1226" t="s">
        <v>72</v>
      </c>
      <c r="AS1226">
        <v>170</v>
      </c>
      <c r="AT1226" s="4">
        <v>42766</v>
      </c>
      <c r="AU1226" t="s">
        <v>73</v>
      </c>
      <c r="AV1226">
        <v>170</v>
      </c>
      <c r="AW1226" s="4">
        <v>42766</v>
      </c>
      <c r="BD1226">
        <v>0</v>
      </c>
      <c r="BN1226" t="s">
        <v>74</v>
      </c>
    </row>
    <row r="1227" spans="1:66">
      <c r="A1227">
        <v>101586</v>
      </c>
      <c r="B1227" t="s">
        <v>301</v>
      </c>
      <c r="C1227" s="1">
        <v>43300101</v>
      </c>
      <c r="D1227" t="s">
        <v>67</v>
      </c>
      <c r="H1227" t="str">
        <f t="shared" si="159"/>
        <v>05102540019</v>
      </c>
      <c r="I1227" t="str">
        <f t="shared" si="159"/>
        <v>05102540019</v>
      </c>
      <c r="K1227" t="str">
        <f>""</f>
        <v/>
      </c>
      <c r="M1227" t="s">
        <v>68</v>
      </c>
      <c r="N1227" t="str">
        <f t="shared" si="160"/>
        <v>FOR</v>
      </c>
      <c r="O1227" t="s">
        <v>69</v>
      </c>
      <c r="P1227" t="s">
        <v>75</v>
      </c>
      <c r="Q1227">
        <v>2016</v>
      </c>
      <c r="R1227" s="4">
        <v>42460</v>
      </c>
      <c r="S1227" s="2">
        <v>42473</v>
      </c>
      <c r="T1227" s="2">
        <v>42467</v>
      </c>
      <c r="U1227" s="4">
        <v>42527</v>
      </c>
      <c r="V1227" t="s">
        <v>71</v>
      </c>
      <c r="W1227" t="str">
        <f>"              1045/F"</f>
        <v xml:space="preserve">              1045/F</v>
      </c>
      <c r="X1227">
        <v>475.8</v>
      </c>
      <c r="Y1227">
        <v>0</v>
      </c>
      <c r="Z1227" s="5">
        <v>390</v>
      </c>
      <c r="AA1227" s="3">
        <v>239</v>
      </c>
      <c r="AB1227" s="5">
        <v>93210</v>
      </c>
      <c r="AC1227">
        <v>390</v>
      </c>
      <c r="AD1227">
        <v>239</v>
      </c>
      <c r="AE1227" s="1">
        <v>93210</v>
      </c>
      <c r="AF1227">
        <v>0</v>
      </c>
      <c r="AJ1227">
        <v>0</v>
      </c>
      <c r="AK1227">
        <v>0</v>
      </c>
      <c r="AL1227">
        <v>0</v>
      </c>
      <c r="AM1227">
        <v>0</v>
      </c>
      <c r="AN1227">
        <v>0</v>
      </c>
      <c r="AO1227">
        <v>0</v>
      </c>
      <c r="AP1227" s="2">
        <v>42831</v>
      </c>
      <c r="AQ1227" t="s">
        <v>72</v>
      </c>
      <c r="AR1227" t="s">
        <v>72</v>
      </c>
      <c r="AS1227">
        <v>170</v>
      </c>
      <c r="AT1227" s="4">
        <v>42766</v>
      </c>
      <c r="AU1227" t="s">
        <v>73</v>
      </c>
      <c r="AV1227">
        <v>170</v>
      </c>
      <c r="AW1227" s="4">
        <v>42766</v>
      </c>
      <c r="BD1227">
        <v>0</v>
      </c>
      <c r="BN1227" t="s">
        <v>74</v>
      </c>
    </row>
    <row r="1228" spans="1:66">
      <c r="A1228">
        <v>101586</v>
      </c>
      <c r="B1228" t="s">
        <v>301</v>
      </c>
      <c r="C1228" s="1">
        <v>43300101</v>
      </c>
      <c r="D1228" t="s">
        <v>67</v>
      </c>
      <c r="H1228" t="str">
        <f t="shared" si="159"/>
        <v>05102540019</v>
      </c>
      <c r="I1228" t="str">
        <f t="shared" si="159"/>
        <v>05102540019</v>
      </c>
      <c r="K1228" t="str">
        <f>""</f>
        <v/>
      </c>
      <c r="M1228" t="s">
        <v>68</v>
      </c>
      <c r="N1228" t="str">
        <f t="shared" si="160"/>
        <v>FOR</v>
      </c>
      <c r="O1228" t="s">
        <v>69</v>
      </c>
      <c r="P1228" t="s">
        <v>75</v>
      </c>
      <c r="Q1228">
        <v>2016</v>
      </c>
      <c r="R1228" s="4">
        <v>42468</v>
      </c>
      <c r="S1228" s="2">
        <v>42474</v>
      </c>
      <c r="T1228" s="2">
        <v>42473</v>
      </c>
      <c r="U1228" s="4">
        <v>42533</v>
      </c>
      <c r="V1228" t="s">
        <v>71</v>
      </c>
      <c r="W1228" t="str">
        <f>"              1066/F"</f>
        <v xml:space="preserve">              1066/F</v>
      </c>
      <c r="X1228" s="1">
        <v>1024.8</v>
      </c>
      <c r="Y1228">
        <v>0</v>
      </c>
      <c r="Z1228" s="5">
        <v>840</v>
      </c>
      <c r="AA1228" s="3">
        <v>247</v>
      </c>
      <c r="AB1228" s="5">
        <v>207480</v>
      </c>
      <c r="AC1228">
        <v>840</v>
      </c>
      <c r="AD1228">
        <v>247</v>
      </c>
      <c r="AE1228" s="1">
        <v>207480</v>
      </c>
      <c r="AF1228">
        <v>0</v>
      </c>
      <c r="AJ1228">
        <v>0</v>
      </c>
      <c r="AK1228">
        <v>0</v>
      </c>
      <c r="AL1228">
        <v>0</v>
      </c>
      <c r="AM1228">
        <v>0</v>
      </c>
      <c r="AN1228">
        <v>0</v>
      </c>
      <c r="AO1228">
        <v>0</v>
      </c>
      <c r="AP1228" s="2">
        <v>42831</v>
      </c>
      <c r="AQ1228" t="s">
        <v>72</v>
      </c>
      <c r="AR1228" t="s">
        <v>72</v>
      </c>
      <c r="AS1228">
        <v>435</v>
      </c>
      <c r="AT1228" s="4">
        <v>42780</v>
      </c>
      <c r="AU1228" t="s">
        <v>73</v>
      </c>
      <c r="AV1228">
        <v>435</v>
      </c>
      <c r="AW1228" s="4">
        <v>42780</v>
      </c>
      <c r="BD1228">
        <v>0</v>
      </c>
      <c r="BN1228" t="s">
        <v>74</v>
      </c>
    </row>
    <row r="1229" spans="1:66">
      <c r="A1229">
        <v>101586</v>
      </c>
      <c r="B1229" t="s">
        <v>301</v>
      </c>
      <c r="C1229" s="1">
        <v>43300101</v>
      </c>
      <c r="D1229" t="s">
        <v>67</v>
      </c>
      <c r="H1229" t="str">
        <f t="shared" si="159"/>
        <v>05102540019</v>
      </c>
      <c r="I1229" t="str">
        <f t="shared" si="159"/>
        <v>05102540019</v>
      </c>
      <c r="K1229" t="str">
        <f>""</f>
        <v/>
      </c>
      <c r="M1229" t="s">
        <v>68</v>
      </c>
      <c r="N1229" t="str">
        <f t="shared" si="160"/>
        <v>FOR</v>
      </c>
      <c r="O1229" t="s">
        <v>69</v>
      </c>
      <c r="P1229" t="s">
        <v>75</v>
      </c>
      <c r="Q1229">
        <v>2016</v>
      </c>
      <c r="R1229" s="4">
        <v>42517</v>
      </c>
      <c r="S1229" s="2">
        <v>42521</v>
      </c>
      <c r="T1229" s="2">
        <v>42521</v>
      </c>
      <c r="U1229" s="4">
        <v>42581</v>
      </c>
      <c r="V1229" t="s">
        <v>71</v>
      </c>
      <c r="W1229" t="str">
        <f>"              1699/F"</f>
        <v xml:space="preserve">              1699/F</v>
      </c>
      <c r="X1229">
        <v>762.5</v>
      </c>
      <c r="Y1229">
        <v>0</v>
      </c>
      <c r="Z1229" s="5">
        <v>625</v>
      </c>
      <c r="AA1229" s="3">
        <v>199</v>
      </c>
      <c r="AB1229" s="5">
        <v>124375</v>
      </c>
      <c r="AC1229">
        <v>625</v>
      </c>
      <c r="AD1229">
        <v>199</v>
      </c>
      <c r="AE1229" s="1">
        <v>124375</v>
      </c>
      <c r="AF1229">
        <v>0</v>
      </c>
      <c r="AJ1229">
        <v>0</v>
      </c>
      <c r="AK1229">
        <v>0</v>
      </c>
      <c r="AL1229">
        <v>0</v>
      </c>
      <c r="AM1229">
        <v>0</v>
      </c>
      <c r="AN1229">
        <v>0</v>
      </c>
      <c r="AO1229">
        <v>0</v>
      </c>
      <c r="AP1229" s="2">
        <v>42831</v>
      </c>
      <c r="AQ1229" t="s">
        <v>72</v>
      </c>
      <c r="AR1229" t="s">
        <v>72</v>
      </c>
      <c r="AS1229">
        <v>435</v>
      </c>
      <c r="AT1229" s="4">
        <v>42780</v>
      </c>
      <c r="AU1229" t="s">
        <v>73</v>
      </c>
      <c r="AV1229">
        <v>435</v>
      </c>
      <c r="AW1229" s="4">
        <v>42780</v>
      </c>
      <c r="BD1229">
        <v>0</v>
      </c>
      <c r="BN1229" t="s">
        <v>74</v>
      </c>
    </row>
    <row r="1230" spans="1:66">
      <c r="A1230">
        <v>101586</v>
      </c>
      <c r="B1230" t="s">
        <v>301</v>
      </c>
      <c r="C1230" s="1">
        <v>43300101</v>
      </c>
      <c r="D1230" t="s">
        <v>67</v>
      </c>
      <c r="H1230" t="str">
        <f t="shared" si="159"/>
        <v>05102540019</v>
      </c>
      <c r="I1230" t="str">
        <f t="shared" si="159"/>
        <v>05102540019</v>
      </c>
      <c r="K1230" t="str">
        <f>""</f>
        <v/>
      </c>
      <c r="M1230" t="s">
        <v>68</v>
      </c>
      <c r="N1230" t="str">
        <f t="shared" si="160"/>
        <v>FOR</v>
      </c>
      <c r="O1230" t="s">
        <v>69</v>
      </c>
      <c r="P1230" t="s">
        <v>75</v>
      </c>
      <c r="Q1230">
        <v>2016</v>
      </c>
      <c r="R1230" s="4">
        <v>42548</v>
      </c>
      <c r="S1230" s="2">
        <v>42556</v>
      </c>
      <c r="T1230" s="2">
        <v>42552</v>
      </c>
      <c r="U1230" s="4">
        <v>42612</v>
      </c>
      <c r="V1230" t="s">
        <v>71</v>
      </c>
      <c r="W1230" t="str">
        <f>"              1936/F"</f>
        <v xml:space="preserve">              1936/F</v>
      </c>
      <c r="X1230" s="1">
        <v>1213.9000000000001</v>
      </c>
      <c r="Y1230">
        <v>0</v>
      </c>
      <c r="Z1230" s="5">
        <v>995</v>
      </c>
      <c r="AA1230" s="3">
        <v>183</v>
      </c>
      <c r="AB1230" s="5">
        <v>182085</v>
      </c>
      <c r="AC1230">
        <v>995</v>
      </c>
      <c r="AD1230">
        <v>183</v>
      </c>
      <c r="AE1230" s="1">
        <v>182085</v>
      </c>
      <c r="AF1230">
        <v>218.9</v>
      </c>
      <c r="AJ1230">
        <v>0</v>
      </c>
      <c r="AK1230">
        <v>0</v>
      </c>
      <c r="AL1230">
        <v>0</v>
      </c>
      <c r="AM1230">
        <v>0</v>
      </c>
      <c r="AN1230">
        <v>0</v>
      </c>
      <c r="AO1230">
        <v>0</v>
      </c>
      <c r="AP1230" s="2">
        <v>42831</v>
      </c>
      <c r="AQ1230" t="s">
        <v>72</v>
      </c>
      <c r="AR1230" t="s">
        <v>72</v>
      </c>
      <c r="AS1230">
        <v>662</v>
      </c>
      <c r="AT1230" s="4">
        <v>42795</v>
      </c>
      <c r="AU1230" t="s">
        <v>73</v>
      </c>
      <c r="AV1230">
        <v>662</v>
      </c>
      <c r="AW1230" s="4">
        <v>42795</v>
      </c>
      <c r="BD1230">
        <v>218.9</v>
      </c>
      <c r="BN1230" t="s">
        <v>74</v>
      </c>
    </row>
    <row r="1231" spans="1:66">
      <c r="A1231">
        <v>101586</v>
      </c>
      <c r="B1231" t="s">
        <v>301</v>
      </c>
      <c r="C1231" s="1">
        <v>43300101</v>
      </c>
      <c r="D1231" t="s">
        <v>67</v>
      </c>
      <c r="H1231" t="str">
        <f t="shared" si="159"/>
        <v>05102540019</v>
      </c>
      <c r="I1231" t="str">
        <f t="shared" si="159"/>
        <v>05102540019</v>
      </c>
      <c r="K1231" t="str">
        <f>""</f>
        <v/>
      </c>
      <c r="M1231" t="s">
        <v>68</v>
      </c>
      <c r="N1231" t="str">
        <f t="shared" si="160"/>
        <v>FOR</v>
      </c>
      <c r="O1231" t="s">
        <v>69</v>
      </c>
      <c r="P1231" t="s">
        <v>75</v>
      </c>
      <c r="Q1231">
        <v>2016</v>
      </c>
      <c r="R1231" s="4">
        <v>42548</v>
      </c>
      <c r="S1231" s="2">
        <v>42556</v>
      </c>
      <c r="T1231" s="2">
        <v>42552</v>
      </c>
      <c r="U1231" s="4">
        <v>42612</v>
      </c>
      <c r="V1231" t="s">
        <v>71</v>
      </c>
      <c r="W1231" t="str">
        <f>"              1994/F"</f>
        <v xml:space="preserve">              1994/F</v>
      </c>
      <c r="X1231" s="1">
        <v>5111.8</v>
      </c>
      <c r="Y1231">
        <v>0</v>
      </c>
      <c r="Z1231" s="5">
        <v>4190</v>
      </c>
      <c r="AA1231" s="3">
        <v>183</v>
      </c>
      <c r="AB1231" s="5">
        <v>766770</v>
      </c>
      <c r="AC1231" s="1">
        <v>4190</v>
      </c>
      <c r="AD1231">
        <v>183</v>
      </c>
      <c r="AE1231" s="1">
        <v>766770</v>
      </c>
      <c r="AF1231">
        <v>921.8</v>
      </c>
      <c r="AJ1231">
        <v>0</v>
      </c>
      <c r="AK1231">
        <v>0</v>
      </c>
      <c r="AL1231">
        <v>0</v>
      </c>
      <c r="AM1231">
        <v>0</v>
      </c>
      <c r="AN1231">
        <v>0</v>
      </c>
      <c r="AO1231">
        <v>0</v>
      </c>
      <c r="AP1231" s="2">
        <v>42831</v>
      </c>
      <c r="AQ1231" t="s">
        <v>72</v>
      </c>
      <c r="AR1231" t="s">
        <v>72</v>
      </c>
      <c r="AS1231">
        <v>662</v>
      </c>
      <c r="AT1231" s="4">
        <v>42795</v>
      </c>
      <c r="AU1231" t="s">
        <v>73</v>
      </c>
      <c r="AV1231">
        <v>662</v>
      </c>
      <c r="AW1231" s="4">
        <v>42795</v>
      </c>
      <c r="BD1231">
        <v>921.8</v>
      </c>
      <c r="BN1231" t="s">
        <v>74</v>
      </c>
    </row>
    <row r="1232" spans="1:66">
      <c r="A1232">
        <v>101586</v>
      </c>
      <c r="B1232" t="s">
        <v>301</v>
      </c>
      <c r="C1232" s="1">
        <v>43300101</v>
      </c>
      <c r="D1232" t="s">
        <v>67</v>
      </c>
      <c r="H1232" t="str">
        <f t="shared" si="159"/>
        <v>05102540019</v>
      </c>
      <c r="I1232" t="str">
        <f t="shared" si="159"/>
        <v>05102540019</v>
      </c>
      <c r="K1232" t="str">
        <f>""</f>
        <v/>
      </c>
      <c r="M1232" t="s">
        <v>68</v>
      </c>
      <c r="N1232" t="str">
        <f t="shared" si="160"/>
        <v>FOR</v>
      </c>
      <c r="O1232" t="s">
        <v>69</v>
      </c>
      <c r="P1232" t="s">
        <v>75</v>
      </c>
      <c r="Q1232">
        <v>2016</v>
      </c>
      <c r="R1232" s="4">
        <v>42549</v>
      </c>
      <c r="S1232" s="2">
        <v>42556</v>
      </c>
      <c r="T1232" s="2">
        <v>42552</v>
      </c>
      <c r="U1232" s="4">
        <v>42612</v>
      </c>
      <c r="V1232" t="s">
        <v>71</v>
      </c>
      <c r="W1232" t="str">
        <f>"              2020/F"</f>
        <v xml:space="preserve">              2020/F</v>
      </c>
      <c r="X1232" s="1">
        <v>1952</v>
      </c>
      <c r="Y1232">
        <v>0</v>
      </c>
      <c r="Z1232" s="5">
        <v>1600</v>
      </c>
      <c r="AA1232" s="3">
        <v>183</v>
      </c>
      <c r="AB1232" s="5">
        <v>292800</v>
      </c>
      <c r="AC1232" s="1">
        <v>1600</v>
      </c>
      <c r="AD1232">
        <v>183</v>
      </c>
      <c r="AE1232" s="1">
        <v>292800</v>
      </c>
      <c r="AF1232">
        <v>352</v>
      </c>
      <c r="AJ1232">
        <v>0</v>
      </c>
      <c r="AK1232">
        <v>0</v>
      </c>
      <c r="AL1232">
        <v>0</v>
      </c>
      <c r="AM1232">
        <v>0</v>
      </c>
      <c r="AN1232">
        <v>0</v>
      </c>
      <c r="AO1232">
        <v>0</v>
      </c>
      <c r="AP1232" s="2">
        <v>42831</v>
      </c>
      <c r="AQ1232" t="s">
        <v>72</v>
      </c>
      <c r="AR1232" t="s">
        <v>72</v>
      </c>
      <c r="AS1232">
        <v>662</v>
      </c>
      <c r="AT1232" s="4">
        <v>42795</v>
      </c>
      <c r="AU1232" t="s">
        <v>73</v>
      </c>
      <c r="AV1232">
        <v>662</v>
      </c>
      <c r="AW1232" s="4">
        <v>42795</v>
      </c>
      <c r="BD1232">
        <v>352</v>
      </c>
      <c r="BN1232" t="s">
        <v>74</v>
      </c>
    </row>
    <row r="1233" spans="1:66">
      <c r="A1233">
        <v>101586</v>
      </c>
      <c r="B1233" t="s">
        <v>301</v>
      </c>
      <c r="C1233" s="1">
        <v>43300101</v>
      </c>
      <c r="D1233" t="s">
        <v>67</v>
      </c>
      <c r="H1233" t="str">
        <f t="shared" si="159"/>
        <v>05102540019</v>
      </c>
      <c r="I1233" t="str">
        <f t="shared" si="159"/>
        <v>05102540019</v>
      </c>
      <c r="K1233" t="str">
        <f>""</f>
        <v/>
      </c>
      <c r="M1233" t="s">
        <v>68</v>
      </c>
      <c r="N1233" t="str">
        <f t="shared" si="160"/>
        <v>FOR</v>
      </c>
      <c r="O1233" t="s">
        <v>69</v>
      </c>
      <c r="P1233" t="s">
        <v>75</v>
      </c>
      <c r="Q1233">
        <v>2016</v>
      </c>
      <c r="R1233" s="4">
        <v>42557</v>
      </c>
      <c r="S1233" s="2">
        <v>42571</v>
      </c>
      <c r="T1233" s="2">
        <v>42567</v>
      </c>
      <c r="U1233" s="4">
        <v>42627</v>
      </c>
      <c r="V1233" t="s">
        <v>71</v>
      </c>
      <c r="W1233" t="str">
        <f>"              2089/F"</f>
        <v xml:space="preserve">              2089/F</v>
      </c>
      <c r="X1233">
        <v>237.9</v>
      </c>
      <c r="Y1233">
        <v>0</v>
      </c>
      <c r="Z1233" s="5">
        <v>195</v>
      </c>
      <c r="AA1233" s="3">
        <v>168</v>
      </c>
      <c r="AB1233" s="5">
        <v>32760</v>
      </c>
      <c r="AC1233">
        <v>195</v>
      </c>
      <c r="AD1233">
        <v>168</v>
      </c>
      <c r="AE1233" s="1">
        <v>32760</v>
      </c>
      <c r="AF1233">
        <v>42.9</v>
      </c>
      <c r="AJ1233">
        <v>0</v>
      </c>
      <c r="AK1233">
        <v>0</v>
      </c>
      <c r="AL1233">
        <v>0</v>
      </c>
      <c r="AM1233">
        <v>0</v>
      </c>
      <c r="AN1233">
        <v>0</v>
      </c>
      <c r="AO1233">
        <v>0</v>
      </c>
      <c r="AP1233" s="2">
        <v>42831</v>
      </c>
      <c r="AQ1233" t="s">
        <v>72</v>
      </c>
      <c r="AR1233" t="s">
        <v>72</v>
      </c>
      <c r="AS1233">
        <v>662</v>
      </c>
      <c r="AT1233" s="4">
        <v>42795</v>
      </c>
      <c r="AU1233" t="s">
        <v>73</v>
      </c>
      <c r="AV1233">
        <v>662</v>
      </c>
      <c r="AW1233" s="4">
        <v>42795</v>
      </c>
      <c r="BD1233">
        <v>42.9</v>
      </c>
      <c r="BN1233" t="s">
        <v>74</v>
      </c>
    </row>
    <row r="1234" spans="1:66">
      <c r="A1234">
        <v>101586</v>
      </c>
      <c r="B1234" t="s">
        <v>301</v>
      </c>
      <c r="C1234" s="1">
        <v>43300101</v>
      </c>
      <c r="D1234" t="s">
        <v>67</v>
      </c>
      <c r="H1234" t="str">
        <f t="shared" si="159"/>
        <v>05102540019</v>
      </c>
      <c r="I1234" t="str">
        <f t="shared" si="159"/>
        <v>05102540019</v>
      </c>
      <c r="K1234" t="str">
        <f>""</f>
        <v/>
      </c>
      <c r="M1234" t="s">
        <v>68</v>
      </c>
      <c r="N1234" t="str">
        <f t="shared" si="160"/>
        <v>FOR</v>
      </c>
      <c r="O1234" t="s">
        <v>69</v>
      </c>
      <c r="P1234" t="s">
        <v>75</v>
      </c>
      <c r="Q1234">
        <v>2016</v>
      </c>
      <c r="R1234" s="4">
        <v>42573</v>
      </c>
      <c r="S1234" s="2">
        <v>42583</v>
      </c>
      <c r="T1234" s="2">
        <v>42579</v>
      </c>
      <c r="U1234" s="4">
        <v>42639</v>
      </c>
      <c r="V1234" t="s">
        <v>71</v>
      </c>
      <c r="W1234" t="str">
        <f>"              2257/F"</f>
        <v xml:space="preserve">              2257/F</v>
      </c>
      <c r="X1234">
        <v>463.6</v>
      </c>
      <c r="Y1234">
        <v>0</v>
      </c>
      <c r="Z1234" s="5">
        <v>380</v>
      </c>
      <c r="AA1234" s="3">
        <v>156</v>
      </c>
      <c r="AB1234" s="5">
        <v>59280</v>
      </c>
      <c r="AC1234">
        <v>380</v>
      </c>
      <c r="AD1234">
        <v>156</v>
      </c>
      <c r="AE1234" s="1">
        <v>59280</v>
      </c>
      <c r="AF1234">
        <v>83.6</v>
      </c>
      <c r="AJ1234">
        <v>0</v>
      </c>
      <c r="AK1234">
        <v>0</v>
      </c>
      <c r="AL1234">
        <v>0</v>
      </c>
      <c r="AM1234">
        <v>0</v>
      </c>
      <c r="AN1234">
        <v>0</v>
      </c>
      <c r="AO1234">
        <v>0</v>
      </c>
      <c r="AP1234" s="2">
        <v>42831</v>
      </c>
      <c r="AQ1234" t="s">
        <v>72</v>
      </c>
      <c r="AR1234" t="s">
        <v>72</v>
      </c>
      <c r="AS1234">
        <v>662</v>
      </c>
      <c r="AT1234" s="4">
        <v>42795</v>
      </c>
      <c r="AU1234" t="s">
        <v>73</v>
      </c>
      <c r="AV1234">
        <v>662</v>
      </c>
      <c r="AW1234" s="4">
        <v>42795</v>
      </c>
      <c r="BD1234">
        <v>83.6</v>
      </c>
      <c r="BN1234" t="s">
        <v>74</v>
      </c>
    </row>
    <row r="1235" spans="1:66">
      <c r="A1235">
        <v>101586</v>
      </c>
      <c r="B1235" t="s">
        <v>301</v>
      </c>
      <c r="C1235" s="1">
        <v>43300101</v>
      </c>
      <c r="D1235" t="s">
        <v>67</v>
      </c>
      <c r="H1235" t="str">
        <f t="shared" si="159"/>
        <v>05102540019</v>
      </c>
      <c r="I1235" t="str">
        <f t="shared" si="159"/>
        <v>05102540019</v>
      </c>
      <c r="K1235" t="str">
        <f>""</f>
        <v/>
      </c>
      <c r="M1235" t="s">
        <v>68</v>
      </c>
      <c r="N1235" t="str">
        <f t="shared" si="160"/>
        <v>FOR</v>
      </c>
      <c r="O1235" t="s">
        <v>69</v>
      </c>
      <c r="P1235" t="s">
        <v>75</v>
      </c>
      <c r="Q1235">
        <v>2016</v>
      </c>
      <c r="R1235" s="4">
        <v>42633</v>
      </c>
      <c r="S1235" s="2">
        <v>42642</v>
      </c>
      <c r="T1235" s="2">
        <v>42636</v>
      </c>
      <c r="U1235" s="4">
        <v>42696</v>
      </c>
      <c r="V1235" t="s">
        <v>71</v>
      </c>
      <c r="W1235" t="str">
        <f>"              2854/F"</f>
        <v xml:space="preserve">              2854/F</v>
      </c>
      <c r="X1235" s="1">
        <v>1451.8</v>
      </c>
      <c r="Y1235">
        <v>0</v>
      </c>
      <c r="Z1235" s="5">
        <v>1190</v>
      </c>
      <c r="AA1235" s="3">
        <v>99</v>
      </c>
      <c r="AB1235" s="5">
        <v>117810</v>
      </c>
      <c r="AC1235" s="1">
        <v>1190</v>
      </c>
      <c r="AD1235">
        <v>99</v>
      </c>
      <c r="AE1235" s="1">
        <v>117810</v>
      </c>
      <c r="AF1235">
        <v>261.8</v>
      </c>
      <c r="AJ1235">
        <v>0</v>
      </c>
      <c r="AK1235">
        <v>0</v>
      </c>
      <c r="AL1235">
        <v>0</v>
      </c>
      <c r="AM1235">
        <v>0</v>
      </c>
      <c r="AN1235">
        <v>0</v>
      </c>
      <c r="AO1235">
        <v>0</v>
      </c>
      <c r="AP1235" s="2">
        <v>42831</v>
      </c>
      <c r="AQ1235" t="s">
        <v>72</v>
      </c>
      <c r="AR1235" t="s">
        <v>72</v>
      </c>
      <c r="AS1235">
        <v>662</v>
      </c>
      <c r="AT1235" s="4">
        <v>42795</v>
      </c>
      <c r="AU1235" t="s">
        <v>73</v>
      </c>
      <c r="AV1235">
        <v>662</v>
      </c>
      <c r="AW1235" s="4">
        <v>42795</v>
      </c>
      <c r="BB1235">
        <v>261.8</v>
      </c>
      <c r="BD1235">
        <v>0</v>
      </c>
      <c r="BN1235" t="s">
        <v>74</v>
      </c>
    </row>
    <row r="1236" spans="1:66">
      <c r="A1236">
        <v>101586</v>
      </c>
      <c r="B1236" t="s">
        <v>301</v>
      </c>
      <c r="C1236" s="1">
        <v>43300101</v>
      </c>
      <c r="D1236" t="s">
        <v>67</v>
      </c>
      <c r="H1236" t="str">
        <f t="shared" si="159"/>
        <v>05102540019</v>
      </c>
      <c r="I1236" t="str">
        <f t="shared" si="159"/>
        <v>05102540019</v>
      </c>
      <c r="K1236" t="str">
        <f>""</f>
        <v/>
      </c>
      <c r="M1236" t="s">
        <v>68</v>
      </c>
      <c r="N1236" t="str">
        <f t="shared" si="160"/>
        <v>FOR</v>
      </c>
      <c r="O1236" t="s">
        <v>69</v>
      </c>
      <c r="P1236" t="s">
        <v>75</v>
      </c>
      <c r="Q1236">
        <v>2016</v>
      </c>
      <c r="R1236" s="4">
        <v>42643</v>
      </c>
      <c r="S1236" s="2">
        <v>42654</v>
      </c>
      <c r="T1236" s="2">
        <v>42650</v>
      </c>
      <c r="U1236" s="4">
        <v>42710</v>
      </c>
      <c r="V1236" t="s">
        <v>71</v>
      </c>
      <c r="W1236" t="str">
        <f>"              2986/F"</f>
        <v xml:space="preserve">              2986/F</v>
      </c>
      <c r="X1236">
        <v>500.2</v>
      </c>
      <c r="Y1236">
        <v>0</v>
      </c>
      <c r="Z1236" s="5">
        <v>410</v>
      </c>
      <c r="AA1236" s="3">
        <v>85</v>
      </c>
      <c r="AB1236" s="5">
        <v>34850</v>
      </c>
      <c r="AC1236">
        <v>410</v>
      </c>
      <c r="AD1236">
        <v>85</v>
      </c>
      <c r="AE1236" s="1">
        <v>34850</v>
      </c>
      <c r="AF1236">
        <v>90.2</v>
      </c>
      <c r="AJ1236">
        <v>0</v>
      </c>
      <c r="AK1236">
        <v>0</v>
      </c>
      <c r="AL1236">
        <v>0</v>
      </c>
      <c r="AM1236">
        <v>0</v>
      </c>
      <c r="AN1236">
        <v>0</v>
      </c>
      <c r="AO1236">
        <v>0</v>
      </c>
      <c r="AP1236" s="2">
        <v>42831</v>
      </c>
      <c r="AQ1236" t="s">
        <v>72</v>
      </c>
      <c r="AR1236" t="s">
        <v>72</v>
      </c>
      <c r="AS1236">
        <v>662</v>
      </c>
      <c r="AT1236" s="4">
        <v>42795</v>
      </c>
      <c r="AU1236" t="s">
        <v>73</v>
      </c>
      <c r="AV1236">
        <v>662</v>
      </c>
      <c r="AW1236" s="4">
        <v>42795</v>
      </c>
      <c r="BA1236">
        <v>90.2</v>
      </c>
      <c r="BD1236">
        <v>0</v>
      </c>
      <c r="BN1236" t="s">
        <v>74</v>
      </c>
    </row>
    <row r="1237" spans="1:66">
      <c r="A1237">
        <v>101586</v>
      </c>
      <c r="B1237" t="s">
        <v>301</v>
      </c>
      <c r="C1237" s="1">
        <v>43300101</v>
      </c>
      <c r="D1237" t="s">
        <v>67</v>
      </c>
      <c r="H1237" t="str">
        <f t="shared" si="159"/>
        <v>05102540019</v>
      </c>
      <c r="I1237" t="str">
        <f t="shared" si="159"/>
        <v>05102540019</v>
      </c>
      <c r="K1237" t="str">
        <f>""</f>
        <v/>
      </c>
      <c r="M1237" t="s">
        <v>68</v>
      </c>
      <c r="N1237" t="str">
        <f t="shared" si="160"/>
        <v>FOR</v>
      </c>
      <c r="O1237" t="s">
        <v>69</v>
      </c>
      <c r="P1237" t="s">
        <v>75</v>
      </c>
      <c r="Q1237">
        <v>2016</v>
      </c>
      <c r="R1237" s="4">
        <v>42661</v>
      </c>
      <c r="S1237" s="2">
        <v>42661</v>
      </c>
      <c r="T1237" s="2">
        <v>42661</v>
      </c>
      <c r="U1237" s="4">
        <v>42721</v>
      </c>
      <c r="V1237" t="s">
        <v>71</v>
      </c>
      <c r="W1237" t="str">
        <f>"              3181/F"</f>
        <v xml:space="preserve">              3181/F</v>
      </c>
      <c r="X1237">
        <v>463.6</v>
      </c>
      <c r="Y1237">
        <v>0</v>
      </c>
      <c r="Z1237" s="5">
        <v>380</v>
      </c>
      <c r="AA1237" s="3">
        <v>74</v>
      </c>
      <c r="AB1237" s="5">
        <v>28120</v>
      </c>
      <c r="AC1237">
        <v>380</v>
      </c>
      <c r="AD1237">
        <v>74</v>
      </c>
      <c r="AE1237" s="1">
        <v>28120</v>
      </c>
      <c r="AF1237">
        <v>83.6</v>
      </c>
      <c r="AJ1237">
        <v>0</v>
      </c>
      <c r="AK1237">
        <v>0</v>
      </c>
      <c r="AL1237">
        <v>0</v>
      </c>
      <c r="AM1237">
        <v>0</v>
      </c>
      <c r="AN1237">
        <v>0</v>
      </c>
      <c r="AO1237">
        <v>0</v>
      </c>
      <c r="AP1237" s="2">
        <v>42831</v>
      </c>
      <c r="AQ1237" t="s">
        <v>72</v>
      </c>
      <c r="AR1237" t="s">
        <v>72</v>
      </c>
      <c r="AS1237">
        <v>662</v>
      </c>
      <c r="AT1237" s="4">
        <v>42795</v>
      </c>
      <c r="AU1237" t="s">
        <v>73</v>
      </c>
      <c r="AV1237">
        <v>662</v>
      </c>
      <c r="AW1237" s="4">
        <v>42795</v>
      </c>
      <c r="BA1237">
        <v>83.6</v>
      </c>
      <c r="BD1237">
        <v>0</v>
      </c>
      <c r="BN1237" t="s">
        <v>74</v>
      </c>
    </row>
    <row r="1238" spans="1:66">
      <c r="A1238">
        <v>101586</v>
      </c>
      <c r="B1238" t="s">
        <v>301</v>
      </c>
      <c r="C1238" s="1">
        <v>43300101</v>
      </c>
      <c r="D1238" t="s">
        <v>67</v>
      </c>
      <c r="H1238" t="str">
        <f t="shared" si="159"/>
        <v>05102540019</v>
      </c>
      <c r="I1238" t="str">
        <f t="shared" si="159"/>
        <v>05102540019</v>
      </c>
      <c r="K1238" t="str">
        <f>""</f>
        <v/>
      </c>
      <c r="M1238" t="s">
        <v>68</v>
      </c>
      <c r="N1238" t="str">
        <f t="shared" si="160"/>
        <v>FOR</v>
      </c>
      <c r="O1238" t="s">
        <v>69</v>
      </c>
      <c r="P1238" t="s">
        <v>75</v>
      </c>
      <c r="Q1238">
        <v>2016</v>
      </c>
      <c r="R1238" s="4">
        <v>42668</v>
      </c>
      <c r="S1238" s="2">
        <v>42690</v>
      </c>
      <c r="T1238" s="2">
        <v>42688</v>
      </c>
      <c r="U1238" s="4">
        <v>42748</v>
      </c>
      <c r="V1238" t="s">
        <v>71</v>
      </c>
      <c r="W1238" t="str">
        <f>"              3264/F"</f>
        <v xml:space="preserve">              3264/F</v>
      </c>
      <c r="X1238">
        <v>475.8</v>
      </c>
      <c r="Y1238">
        <v>0</v>
      </c>
      <c r="Z1238" s="5">
        <v>390</v>
      </c>
      <c r="AA1238" s="3">
        <v>47</v>
      </c>
      <c r="AB1238" s="5">
        <v>18330</v>
      </c>
      <c r="AC1238">
        <v>390</v>
      </c>
      <c r="AD1238">
        <v>47</v>
      </c>
      <c r="AE1238" s="1">
        <v>18330</v>
      </c>
      <c r="AF1238">
        <v>85.8</v>
      </c>
      <c r="AJ1238">
        <v>0</v>
      </c>
      <c r="AK1238">
        <v>0</v>
      </c>
      <c r="AL1238">
        <v>0</v>
      </c>
      <c r="AM1238">
        <v>0</v>
      </c>
      <c r="AN1238">
        <v>0</v>
      </c>
      <c r="AO1238">
        <v>0</v>
      </c>
      <c r="AP1238" s="2">
        <v>42831</v>
      </c>
      <c r="AQ1238" t="s">
        <v>72</v>
      </c>
      <c r="AR1238" t="s">
        <v>72</v>
      </c>
      <c r="AS1238">
        <v>662</v>
      </c>
      <c r="AT1238" s="4">
        <v>42795</v>
      </c>
      <c r="AU1238" t="s">
        <v>73</v>
      </c>
      <c r="AV1238">
        <v>662</v>
      </c>
      <c r="AW1238" s="4">
        <v>42795</v>
      </c>
      <c r="AZ1238">
        <v>85.8</v>
      </c>
      <c r="BD1238">
        <v>0</v>
      </c>
      <c r="BN1238" t="s">
        <v>74</v>
      </c>
    </row>
    <row r="1239" spans="1:66">
      <c r="A1239">
        <v>101586</v>
      </c>
      <c r="B1239" t="s">
        <v>301</v>
      </c>
      <c r="C1239" s="1">
        <v>43300101</v>
      </c>
      <c r="D1239" t="s">
        <v>67</v>
      </c>
      <c r="H1239" t="str">
        <f t="shared" si="159"/>
        <v>05102540019</v>
      </c>
      <c r="I1239" t="str">
        <f t="shared" si="159"/>
        <v>05102540019</v>
      </c>
      <c r="K1239" t="str">
        <f>""</f>
        <v/>
      </c>
      <c r="M1239" t="s">
        <v>68</v>
      </c>
      <c r="N1239" t="str">
        <f t="shared" si="160"/>
        <v>FOR</v>
      </c>
      <c r="O1239" t="s">
        <v>69</v>
      </c>
      <c r="P1239" t="s">
        <v>75</v>
      </c>
      <c r="Q1239">
        <v>2016</v>
      </c>
      <c r="R1239" s="4">
        <v>42725</v>
      </c>
      <c r="S1239" s="2">
        <v>42733</v>
      </c>
      <c r="T1239" s="2">
        <v>42732</v>
      </c>
      <c r="U1239" s="4">
        <v>42792</v>
      </c>
      <c r="V1239" t="s">
        <v>71</v>
      </c>
      <c r="W1239" t="str">
        <f>"              3921/F"</f>
        <v xml:space="preserve">              3921/F</v>
      </c>
      <c r="X1239" s="1">
        <v>2141.1</v>
      </c>
      <c r="Y1239">
        <v>0</v>
      </c>
      <c r="Z1239" s="5">
        <v>1755</v>
      </c>
      <c r="AA1239" s="3">
        <v>3</v>
      </c>
      <c r="AB1239" s="5">
        <v>5265</v>
      </c>
      <c r="AC1239" s="1">
        <v>1755</v>
      </c>
      <c r="AD1239">
        <v>3</v>
      </c>
      <c r="AE1239" s="1">
        <v>5265</v>
      </c>
      <c r="AF1239">
        <v>386.1</v>
      </c>
      <c r="AJ1239">
        <v>0</v>
      </c>
      <c r="AK1239">
        <v>0</v>
      </c>
      <c r="AL1239">
        <v>0</v>
      </c>
      <c r="AM1239">
        <v>0</v>
      </c>
      <c r="AN1239">
        <v>0</v>
      </c>
      <c r="AO1239">
        <v>0</v>
      </c>
      <c r="AP1239" s="2">
        <v>42831</v>
      </c>
      <c r="AQ1239" t="s">
        <v>72</v>
      </c>
      <c r="AR1239" t="s">
        <v>72</v>
      </c>
      <c r="AS1239">
        <v>662</v>
      </c>
      <c r="AT1239" s="4">
        <v>42795</v>
      </c>
      <c r="AU1239" t="s">
        <v>73</v>
      </c>
      <c r="AV1239">
        <v>662</v>
      </c>
      <c r="AW1239" s="4">
        <v>42795</v>
      </c>
      <c r="AY1239">
        <v>386.1</v>
      </c>
      <c r="BD1239">
        <v>0</v>
      </c>
      <c r="BN1239" t="s">
        <v>74</v>
      </c>
    </row>
    <row r="1240" spans="1:66">
      <c r="A1240">
        <v>101586</v>
      </c>
      <c r="B1240" t="s">
        <v>301</v>
      </c>
      <c r="C1240" s="1">
        <v>43300101</v>
      </c>
      <c r="D1240" t="s">
        <v>67</v>
      </c>
      <c r="H1240" t="str">
        <f t="shared" si="159"/>
        <v>05102540019</v>
      </c>
      <c r="I1240" t="str">
        <f t="shared" si="159"/>
        <v>05102540019</v>
      </c>
      <c r="K1240" t="str">
        <f>""</f>
        <v/>
      </c>
      <c r="M1240" t="s">
        <v>68</v>
      </c>
      <c r="N1240" t="str">
        <f t="shared" si="160"/>
        <v>FOR</v>
      </c>
      <c r="O1240" t="s">
        <v>69</v>
      </c>
      <c r="P1240" t="s">
        <v>75</v>
      </c>
      <c r="Q1240">
        <v>2016</v>
      </c>
      <c r="R1240" s="4">
        <v>42725</v>
      </c>
      <c r="S1240" s="2">
        <v>42733</v>
      </c>
      <c r="T1240" s="2">
        <v>42732</v>
      </c>
      <c r="U1240" s="4">
        <v>42792</v>
      </c>
      <c r="V1240" t="s">
        <v>71</v>
      </c>
      <c r="W1240" t="str">
        <f>"              3943/F"</f>
        <v xml:space="preserve">              3943/F</v>
      </c>
      <c r="X1240" s="1">
        <v>4111.3999999999996</v>
      </c>
      <c r="Y1240">
        <v>0</v>
      </c>
      <c r="Z1240" s="5">
        <v>3370</v>
      </c>
      <c r="AA1240" s="3">
        <v>3</v>
      </c>
      <c r="AB1240" s="5">
        <v>10110</v>
      </c>
      <c r="AC1240" s="1">
        <v>3370</v>
      </c>
      <c r="AD1240">
        <v>3</v>
      </c>
      <c r="AE1240" s="1">
        <v>10110</v>
      </c>
      <c r="AF1240">
        <v>741.4</v>
      </c>
      <c r="AJ1240">
        <v>0</v>
      </c>
      <c r="AK1240">
        <v>0</v>
      </c>
      <c r="AL1240">
        <v>0</v>
      </c>
      <c r="AM1240">
        <v>0</v>
      </c>
      <c r="AN1240">
        <v>0</v>
      </c>
      <c r="AO1240">
        <v>0</v>
      </c>
      <c r="AP1240" s="2">
        <v>42831</v>
      </c>
      <c r="AQ1240" t="s">
        <v>72</v>
      </c>
      <c r="AR1240" t="s">
        <v>72</v>
      </c>
      <c r="AS1240">
        <v>662</v>
      </c>
      <c r="AT1240" s="4">
        <v>42795</v>
      </c>
      <c r="AU1240" t="s">
        <v>73</v>
      </c>
      <c r="AV1240">
        <v>662</v>
      </c>
      <c r="AW1240" s="4">
        <v>42795</v>
      </c>
      <c r="AY1240">
        <v>741.4</v>
      </c>
      <c r="BD1240">
        <v>0</v>
      </c>
      <c r="BN1240" t="s">
        <v>74</v>
      </c>
    </row>
    <row r="1241" spans="1:66">
      <c r="A1241">
        <v>101601</v>
      </c>
      <c r="B1241" t="s">
        <v>302</v>
      </c>
      <c r="C1241" s="1">
        <v>43300101</v>
      </c>
      <c r="D1241" t="s">
        <v>67</v>
      </c>
      <c r="H1241" t="str">
        <f>"03898780378"</f>
        <v>03898780378</v>
      </c>
      <c r="I1241" t="str">
        <f>"00674091202"</f>
        <v>00674091202</v>
      </c>
      <c r="K1241" t="str">
        <f>""</f>
        <v/>
      </c>
      <c r="M1241" t="s">
        <v>68</v>
      </c>
      <c r="N1241" t="str">
        <f t="shared" si="160"/>
        <v>FOR</v>
      </c>
      <c r="O1241" t="s">
        <v>69</v>
      </c>
      <c r="P1241" t="s">
        <v>75</v>
      </c>
      <c r="Q1241">
        <v>2016</v>
      </c>
      <c r="R1241" s="4">
        <v>42460</v>
      </c>
      <c r="S1241" s="2">
        <v>42466</v>
      </c>
      <c r="T1241" s="2">
        <v>42465</v>
      </c>
      <c r="U1241" s="4">
        <v>42525</v>
      </c>
      <c r="V1241" t="s">
        <v>71</v>
      </c>
      <c r="W1241" t="str">
        <f>"             1186/00"</f>
        <v xml:space="preserve">             1186/00</v>
      </c>
      <c r="X1241" s="1">
        <v>10482.01</v>
      </c>
      <c r="Y1241">
        <v>0</v>
      </c>
      <c r="Z1241" s="5">
        <v>8591.81</v>
      </c>
      <c r="AA1241" s="3">
        <v>241</v>
      </c>
      <c r="AB1241" s="5">
        <v>2070626.21</v>
      </c>
      <c r="AC1241" s="1">
        <v>8591.81</v>
      </c>
      <c r="AD1241">
        <v>241</v>
      </c>
      <c r="AE1241" s="1">
        <v>2070626.21</v>
      </c>
      <c r="AF1241">
        <v>0</v>
      </c>
      <c r="AJ1241">
        <v>0</v>
      </c>
      <c r="AK1241">
        <v>0</v>
      </c>
      <c r="AL1241">
        <v>0</v>
      </c>
      <c r="AM1241">
        <v>0</v>
      </c>
      <c r="AN1241">
        <v>0</v>
      </c>
      <c r="AO1241">
        <v>0</v>
      </c>
      <c r="AP1241" s="2">
        <v>42831</v>
      </c>
      <c r="AQ1241" t="s">
        <v>72</v>
      </c>
      <c r="AR1241" t="s">
        <v>72</v>
      </c>
      <c r="AS1241">
        <v>161</v>
      </c>
      <c r="AT1241" s="4">
        <v>42766</v>
      </c>
      <c r="AU1241" t="s">
        <v>73</v>
      </c>
      <c r="AV1241">
        <v>161</v>
      </c>
      <c r="AW1241" s="4">
        <v>42766</v>
      </c>
      <c r="BD1241">
        <v>0</v>
      </c>
      <c r="BN1241" t="s">
        <v>74</v>
      </c>
    </row>
    <row r="1242" spans="1:66">
      <c r="A1242">
        <v>101636</v>
      </c>
      <c r="B1242" t="s">
        <v>303</v>
      </c>
      <c r="C1242" s="1">
        <v>43300101</v>
      </c>
      <c r="D1242" t="s">
        <v>67</v>
      </c>
      <c r="H1242" t="str">
        <f>"01446930628"</f>
        <v>01446930628</v>
      </c>
      <c r="I1242" t="str">
        <f>"01446930628"</f>
        <v>01446930628</v>
      </c>
      <c r="K1242" t="str">
        <f>""</f>
        <v/>
      </c>
      <c r="M1242" t="s">
        <v>68</v>
      </c>
      <c r="N1242" t="str">
        <f t="shared" si="160"/>
        <v>FOR</v>
      </c>
      <c r="O1242" t="s">
        <v>69</v>
      </c>
      <c r="P1242" t="s">
        <v>75</v>
      </c>
      <c r="Q1242">
        <v>2016</v>
      </c>
      <c r="R1242" s="4">
        <v>42486</v>
      </c>
      <c r="S1242" s="2">
        <v>42492</v>
      </c>
      <c r="T1242" s="2">
        <v>42489</v>
      </c>
      <c r="U1242" s="4">
        <v>42549</v>
      </c>
      <c r="V1242" t="s">
        <v>71</v>
      </c>
      <c r="W1242" t="str">
        <f>"          04/2016/PA"</f>
        <v xml:space="preserve">          04/2016/PA</v>
      </c>
      <c r="X1242" s="1">
        <v>2871.88</v>
      </c>
      <c r="Y1242">
        <v>0</v>
      </c>
      <c r="Z1242" s="5">
        <v>2354</v>
      </c>
      <c r="AA1242" s="3">
        <v>225</v>
      </c>
      <c r="AB1242" s="5">
        <v>529650</v>
      </c>
      <c r="AC1242" s="1">
        <v>2354</v>
      </c>
      <c r="AD1242">
        <v>225</v>
      </c>
      <c r="AE1242" s="1">
        <v>529650</v>
      </c>
      <c r="AF1242">
        <v>0</v>
      </c>
      <c r="AJ1242">
        <v>0</v>
      </c>
      <c r="AK1242">
        <v>0</v>
      </c>
      <c r="AL1242">
        <v>0</v>
      </c>
      <c r="AM1242">
        <v>0</v>
      </c>
      <c r="AN1242">
        <v>0</v>
      </c>
      <c r="AO1242">
        <v>0</v>
      </c>
      <c r="AP1242" s="2">
        <v>42831</v>
      </c>
      <c r="AQ1242" t="s">
        <v>72</v>
      </c>
      <c r="AR1242" t="s">
        <v>72</v>
      </c>
      <c r="AS1242">
        <v>316</v>
      </c>
      <c r="AT1242" s="4">
        <v>42774</v>
      </c>
      <c r="AU1242" t="s">
        <v>73</v>
      </c>
      <c r="AV1242">
        <v>316</v>
      </c>
      <c r="AW1242" s="4">
        <v>42774</v>
      </c>
      <c r="BD1242">
        <v>0</v>
      </c>
      <c r="BN1242" t="s">
        <v>74</v>
      </c>
    </row>
    <row r="1243" spans="1:66">
      <c r="A1243">
        <v>101636</v>
      </c>
      <c r="B1243" t="s">
        <v>303</v>
      </c>
      <c r="C1243" s="1">
        <v>43300101</v>
      </c>
      <c r="D1243" t="s">
        <v>67</v>
      </c>
      <c r="H1243" t="str">
        <f>"01446930628"</f>
        <v>01446930628</v>
      </c>
      <c r="I1243" t="str">
        <f>"01446930628"</f>
        <v>01446930628</v>
      </c>
      <c r="K1243" t="str">
        <f>""</f>
        <v/>
      </c>
      <c r="M1243" t="s">
        <v>68</v>
      </c>
      <c r="N1243" t="str">
        <f t="shared" si="160"/>
        <v>FOR</v>
      </c>
      <c r="O1243" t="s">
        <v>69</v>
      </c>
      <c r="P1243" t="s">
        <v>75</v>
      </c>
      <c r="Q1243">
        <v>2016</v>
      </c>
      <c r="R1243" s="4">
        <v>42486</v>
      </c>
      <c r="S1243" s="2">
        <v>42492</v>
      </c>
      <c r="T1243" s="2">
        <v>42489</v>
      </c>
      <c r="U1243" s="4">
        <v>42549</v>
      </c>
      <c r="V1243" t="s">
        <v>71</v>
      </c>
      <c r="W1243" t="str">
        <f>"          05/2016/PA"</f>
        <v xml:space="preserve">          05/2016/PA</v>
      </c>
      <c r="X1243" s="1">
        <v>3655.12</v>
      </c>
      <c r="Y1243">
        <v>0</v>
      </c>
      <c r="Z1243" s="5">
        <v>2996</v>
      </c>
      <c r="AA1243" s="3">
        <v>225</v>
      </c>
      <c r="AB1243" s="5">
        <v>674100</v>
      </c>
      <c r="AC1243" s="1">
        <v>2996</v>
      </c>
      <c r="AD1243">
        <v>225</v>
      </c>
      <c r="AE1243" s="1">
        <v>674100</v>
      </c>
      <c r="AF1243">
        <v>0</v>
      </c>
      <c r="AJ1243">
        <v>0</v>
      </c>
      <c r="AK1243">
        <v>0</v>
      </c>
      <c r="AL1243">
        <v>0</v>
      </c>
      <c r="AM1243">
        <v>0</v>
      </c>
      <c r="AN1243">
        <v>0</v>
      </c>
      <c r="AO1243">
        <v>0</v>
      </c>
      <c r="AP1243" s="2">
        <v>42831</v>
      </c>
      <c r="AQ1243" t="s">
        <v>72</v>
      </c>
      <c r="AR1243" t="s">
        <v>72</v>
      </c>
      <c r="AS1243">
        <v>316</v>
      </c>
      <c r="AT1243" s="4">
        <v>42774</v>
      </c>
      <c r="AU1243" t="s">
        <v>73</v>
      </c>
      <c r="AV1243">
        <v>316</v>
      </c>
      <c r="AW1243" s="4">
        <v>42774</v>
      </c>
      <c r="BD1243">
        <v>0</v>
      </c>
      <c r="BN1243" t="s">
        <v>74</v>
      </c>
    </row>
    <row r="1244" spans="1:66">
      <c r="A1244">
        <v>101676</v>
      </c>
      <c r="B1244" t="s">
        <v>304</v>
      </c>
      <c r="C1244" s="1">
        <v>43500101</v>
      </c>
      <c r="D1244" t="s">
        <v>98</v>
      </c>
      <c r="H1244" t="str">
        <f>"STFFNC74M08A783F"</f>
        <v>STFFNC74M08A783F</v>
      </c>
      <c r="I1244" t="str">
        <f>"01099440628"</f>
        <v>01099440628</v>
      </c>
      <c r="K1244" t="str">
        <f>""</f>
        <v/>
      </c>
      <c r="M1244" t="s">
        <v>68</v>
      </c>
      <c r="N1244" t="str">
        <f t="shared" ref="N1244:N1251" si="161">"ALTPRO"</f>
        <v>ALTPRO</v>
      </c>
      <c r="O1244" t="s">
        <v>116</v>
      </c>
      <c r="P1244" t="s">
        <v>120</v>
      </c>
      <c r="Q1244">
        <v>2017</v>
      </c>
      <c r="R1244" s="4">
        <v>42737</v>
      </c>
      <c r="S1244" s="2">
        <v>42752</v>
      </c>
      <c r="T1244" s="2">
        <v>42751</v>
      </c>
      <c r="U1244" s="4">
        <v>42811</v>
      </c>
      <c r="V1244" t="s">
        <v>71</v>
      </c>
      <c r="W1244" t="str">
        <f>"                 8/E"</f>
        <v xml:space="preserve">                 8/E</v>
      </c>
      <c r="X1244" s="1">
        <v>1310.56</v>
      </c>
      <c r="Y1244">
        <v>-206.58</v>
      </c>
      <c r="Z1244" s="5">
        <v>1103.98</v>
      </c>
      <c r="AA1244" s="3">
        <v>-46</v>
      </c>
      <c r="AB1244" s="5">
        <v>-50783.08</v>
      </c>
      <c r="AC1244" s="1">
        <v>1103.98</v>
      </c>
      <c r="AD1244">
        <v>-46</v>
      </c>
      <c r="AE1244" s="1">
        <v>-50783.08</v>
      </c>
      <c r="AF1244">
        <v>0</v>
      </c>
      <c r="AJ1244">
        <v>-206.58</v>
      </c>
      <c r="AK1244" s="1">
        <v>1103.98</v>
      </c>
      <c r="AL1244" s="1">
        <v>1103.98</v>
      </c>
      <c r="AM1244">
        <v>-206.58</v>
      </c>
      <c r="AN1244" s="1">
        <v>1103.98</v>
      </c>
      <c r="AO1244" s="1">
        <v>1103.98</v>
      </c>
      <c r="AP1244" s="2">
        <v>42831</v>
      </c>
      <c r="AQ1244" t="s">
        <v>72</v>
      </c>
      <c r="AR1244" t="s">
        <v>72</v>
      </c>
      <c r="AS1244">
        <v>114</v>
      </c>
      <c r="AT1244" s="4">
        <v>42765</v>
      </c>
      <c r="AV1244">
        <v>114</v>
      </c>
      <c r="AW1244" s="4">
        <v>42765</v>
      </c>
      <c r="BD1244">
        <v>0</v>
      </c>
      <c r="BN1244" t="s">
        <v>74</v>
      </c>
    </row>
    <row r="1245" spans="1:66">
      <c r="A1245">
        <v>101676</v>
      </c>
      <c r="B1245" t="s">
        <v>304</v>
      </c>
      <c r="C1245" s="1">
        <v>43500101</v>
      </c>
      <c r="D1245" t="s">
        <v>98</v>
      </c>
      <c r="H1245" t="str">
        <f>"STFFNC74M08A783F"</f>
        <v>STFFNC74M08A783F</v>
      </c>
      <c r="I1245" t="str">
        <f>"01099440628"</f>
        <v>01099440628</v>
      </c>
      <c r="K1245" t="str">
        <f>""</f>
        <v/>
      </c>
      <c r="M1245" t="s">
        <v>68</v>
      </c>
      <c r="N1245" t="str">
        <f t="shared" si="161"/>
        <v>ALTPRO</v>
      </c>
      <c r="O1245" t="s">
        <v>116</v>
      </c>
      <c r="P1245" t="s">
        <v>120</v>
      </c>
      <c r="Q1245">
        <v>2017</v>
      </c>
      <c r="R1245" s="4">
        <v>42767</v>
      </c>
      <c r="S1245" s="2">
        <v>42768</v>
      </c>
      <c r="T1245" s="2">
        <v>42767</v>
      </c>
      <c r="U1245" s="4">
        <v>42827</v>
      </c>
      <c r="V1245" t="s">
        <v>71</v>
      </c>
      <c r="W1245" t="str">
        <f>"                16/E"</f>
        <v xml:space="preserve">                16/E</v>
      </c>
      <c r="X1245" s="1">
        <v>1310.56</v>
      </c>
      <c r="Y1245">
        <v>-206.58</v>
      </c>
      <c r="Z1245" s="5">
        <v>1103.98</v>
      </c>
      <c r="AA1245" s="3">
        <v>-55</v>
      </c>
      <c r="AB1245" s="5">
        <v>-60718.9</v>
      </c>
      <c r="AC1245" s="1">
        <v>1103.98</v>
      </c>
      <c r="AD1245">
        <v>-55</v>
      </c>
      <c r="AE1245" s="1">
        <v>-60718.9</v>
      </c>
      <c r="AF1245">
        <v>0</v>
      </c>
      <c r="AJ1245" s="1">
        <v>1103.98</v>
      </c>
      <c r="AK1245" s="1">
        <v>1103.98</v>
      </c>
      <c r="AL1245" s="1">
        <v>1103.98</v>
      </c>
      <c r="AM1245" s="1">
        <v>1103.98</v>
      </c>
      <c r="AN1245" s="1">
        <v>1103.98</v>
      </c>
      <c r="AO1245" s="1">
        <v>1103.98</v>
      </c>
      <c r="AP1245" s="2">
        <v>42831</v>
      </c>
      <c r="AQ1245" t="s">
        <v>72</v>
      </c>
      <c r="AR1245" t="s">
        <v>72</v>
      </c>
      <c r="AS1245">
        <v>295</v>
      </c>
      <c r="AT1245" s="4">
        <v>42772</v>
      </c>
      <c r="AV1245">
        <v>295</v>
      </c>
      <c r="AW1245" s="4">
        <v>42772</v>
      </c>
      <c r="BD1245">
        <v>0</v>
      </c>
      <c r="BN1245" t="s">
        <v>74</v>
      </c>
    </row>
    <row r="1246" spans="1:66">
      <c r="A1246">
        <v>101676</v>
      </c>
      <c r="B1246" t="s">
        <v>304</v>
      </c>
      <c r="C1246" s="1">
        <v>43500101</v>
      </c>
      <c r="D1246" t="s">
        <v>98</v>
      </c>
      <c r="H1246" t="str">
        <f>"STFFNC74M08A783F"</f>
        <v>STFFNC74M08A783F</v>
      </c>
      <c r="I1246" t="str">
        <f>"01099440628"</f>
        <v>01099440628</v>
      </c>
      <c r="K1246" t="str">
        <f>""</f>
        <v/>
      </c>
      <c r="M1246" t="s">
        <v>68</v>
      </c>
      <c r="N1246" t="str">
        <f t="shared" si="161"/>
        <v>ALTPRO</v>
      </c>
      <c r="O1246" t="s">
        <v>116</v>
      </c>
      <c r="P1246" t="s">
        <v>120</v>
      </c>
      <c r="Q1246">
        <v>2017</v>
      </c>
      <c r="R1246" s="4">
        <v>42795</v>
      </c>
      <c r="S1246" s="2">
        <v>42796</v>
      </c>
      <c r="T1246" s="2">
        <v>42795</v>
      </c>
      <c r="U1246" s="4">
        <v>42855</v>
      </c>
      <c r="V1246" t="s">
        <v>71</v>
      </c>
      <c r="W1246" t="str">
        <f>"                20/E"</f>
        <v xml:space="preserve">                20/E</v>
      </c>
      <c r="X1246" s="1">
        <v>1310.56</v>
      </c>
      <c r="Y1246">
        <v>-206.58</v>
      </c>
      <c r="Z1246" s="5">
        <v>1103.98</v>
      </c>
      <c r="AA1246" s="3">
        <v>-58</v>
      </c>
      <c r="AB1246" s="5">
        <v>-64030.84</v>
      </c>
      <c r="AC1246" s="1">
        <v>1103.98</v>
      </c>
      <c r="AD1246">
        <v>-58</v>
      </c>
      <c r="AE1246" s="1">
        <v>-64030.84</v>
      </c>
      <c r="AF1246">
        <v>0</v>
      </c>
      <c r="AJ1246" s="1">
        <v>1103.98</v>
      </c>
      <c r="AK1246" s="1">
        <v>1103.98</v>
      </c>
      <c r="AL1246" s="1">
        <v>1103.98</v>
      </c>
      <c r="AM1246" s="1">
        <v>1103.98</v>
      </c>
      <c r="AN1246" s="1">
        <v>1103.98</v>
      </c>
      <c r="AO1246" s="1">
        <v>1103.98</v>
      </c>
      <c r="AP1246" s="2">
        <v>42831</v>
      </c>
      <c r="AQ1246" t="s">
        <v>72</v>
      </c>
      <c r="AR1246" t="s">
        <v>72</v>
      </c>
      <c r="AS1246">
        <v>732</v>
      </c>
      <c r="AT1246" s="4">
        <v>42797</v>
      </c>
      <c r="AV1246">
        <v>732</v>
      </c>
      <c r="AW1246" s="4">
        <v>42797</v>
      </c>
      <c r="BD1246">
        <v>0</v>
      </c>
      <c r="BN1246" t="s">
        <v>74</v>
      </c>
    </row>
    <row r="1247" spans="1:66">
      <c r="A1247">
        <v>101700</v>
      </c>
      <c r="B1247" t="s">
        <v>305</v>
      </c>
      <c r="C1247" s="1">
        <v>43500101</v>
      </c>
      <c r="D1247" t="s">
        <v>98</v>
      </c>
      <c r="H1247" t="str">
        <f>"PRRRFL82P13A783D"</f>
        <v>PRRRFL82P13A783D</v>
      </c>
      <c r="I1247" t="str">
        <f>"01523240628"</f>
        <v>01523240628</v>
      </c>
      <c r="K1247" t="str">
        <f>""</f>
        <v/>
      </c>
      <c r="M1247" t="s">
        <v>68</v>
      </c>
      <c r="N1247" t="str">
        <f t="shared" si="161"/>
        <v>ALTPRO</v>
      </c>
      <c r="O1247" t="s">
        <v>116</v>
      </c>
      <c r="P1247" t="s">
        <v>75</v>
      </c>
      <c r="Q1247">
        <v>2016</v>
      </c>
      <c r="R1247" s="4">
        <v>42584</v>
      </c>
      <c r="S1247" s="2">
        <v>42587</v>
      </c>
      <c r="T1247" s="2">
        <v>42587</v>
      </c>
      <c r="U1247" s="4">
        <v>42647</v>
      </c>
      <c r="V1247" t="s">
        <v>71</v>
      </c>
      <c r="W1247" t="str">
        <f>"  000006-2016-PERRAF"</f>
        <v xml:space="preserve">  000006-2016-PERRAF</v>
      </c>
      <c r="X1247">
        <v>148.11000000000001</v>
      </c>
      <c r="Y1247">
        <v>-29.62</v>
      </c>
      <c r="Z1247" s="5">
        <v>118.49</v>
      </c>
      <c r="AA1247" s="3">
        <v>132</v>
      </c>
      <c r="AB1247" s="5">
        <v>15640.68</v>
      </c>
      <c r="AC1247">
        <v>118.49</v>
      </c>
      <c r="AD1247">
        <v>132</v>
      </c>
      <c r="AE1247" s="1">
        <v>15640.68</v>
      </c>
      <c r="AF1247">
        <v>0</v>
      </c>
      <c r="AJ1247">
        <v>0</v>
      </c>
      <c r="AK1247">
        <v>0</v>
      </c>
      <c r="AL1247">
        <v>0</v>
      </c>
      <c r="AM1247">
        <v>0</v>
      </c>
      <c r="AN1247">
        <v>0</v>
      </c>
      <c r="AO1247">
        <v>0</v>
      </c>
      <c r="AP1247" s="2">
        <v>42831</v>
      </c>
      <c r="AQ1247" t="s">
        <v>72</v>
      </c>
      <c r="AR1247" t="s">
        <v>72</v>
      </c>
      <c r="AS1247">
        <v>415</v>
      </c>
      <c r="AT1247" s="4">
        <v>42779</v>
      </c>
      <c r="AU1247" t="s">
        <v>73</v>
      </c>
      <c r="AV1247">
        <v>415</v>
      </c>
      <c r="AW1247" s="4">
        <v>42779</v>
      </c>
      <c r="BD1247">
        <v>0</v>
      </c>
      <c r="BN1247" t="s">
        <v>74</v>
      </c>
    </row>
    <row r="1248" spans="1:66">
      <c r="A1248">
        <v>101700</v>
      </c>
      <c r="B1248" t="s">
        <v>305</v>
      </c>
      <c r="C1248" s="1">
        <v>43500101</v>
      </c>
      <c r="D1248" t="s">
        <v>98</v>
      </c>
      <c r="H1248" t="str">
        <f>"PRRRFL82P13A783D"</f>
        <v>PRRRFL82P13A783D</v>
      </c>
      <c r="I1248" t="str">
        <f>"01523240628"</f>
        <v>01523240628</v>
      </c>
      <c r="K1248" t="str">
        <f>""</f>
        <v/>
      </c>
      <c r="M1248" t="s">
        <v>68</v>
      </c>
      <c r="N1248" t="str">
        <f t="shared" si="161"/>
        <v>ALTPRO</v>
      </c>
      <c r="O1248" t="s">
        <v>116</v>
      </c>
      <c r="P1248" t="s">
        <v>75</v>
      </c>
      <c r="Q1248">
        <v>2016</v>
      </c>
      <c r="R1248" s="4">
        <v>42664</v>
      </c>
      <c r="S1248" s="2">
        <v>42670</v>
      </c>
      <c r="T1248" s="2">
        <v>42664</v>
      </c>
      <c r="U1248" s="4">
        <v>42724</v>
      </c>
      <c r="V1248" t="s">
        <v>71</v>
      </c>
      <c r="W1248" t="str">
        <f>"  000011-2016-PERRAF"</f>
        <v xml:space="preserve">  000011-2016-PERRAF</v>
      </c>
      <c r="X1248">
        <v>405.57</v>
      </c>
      <c r="Y1248">
        <v>-81.11</v>
      </c>
      <c r="Z1248" s="5">
        <v>324.45999999999998</v>
      </c>
      <c r="AA1248" s="3">
        <v>55</v>
      </c>
      <c r="AB1248" s="5">
        <v>17845.3</v>
      </c>
      <c r="AC1248">
        <v>324.45999999999998</v>
      </c>
      <c r="AD1248">
        <v>55</v>
      </c>
      <c r="AE1248" s="1">
        <v>17845.3</v>
      </c>
      <c r="AF1248">
        <v>0</v>
      </c>
      <c r="AJ1248">
        <v>0</v>
      </c>
      <c r="AK1248">
        <v>0</v>
      </c>
      <c r="AL1248">
        <v>0</v>
      </c>
      <c r="AM1248">
        <v>0</v>
      </c>
      <c r="AN1248">
        <v>0</v>
      </c>
      <c r="AO1248">
        <v>0</v>
      </c>
      <c r="AP1248" s="2">
        <v>42831</v>
      </c>
      <c r="AQ1248" t="s">
        <v>72</v>
      </c>
      <c r="AR1248" t="s">
        <v>72</v>
      </c>
      <c r="AS1248">
        <v>415</v>
      </c>
      <c r="AT1248" s="4">
        <v>42779</v>
      </c>
      <c r="AU1248" t="s">
        <v>73</v>
      </c>
      <c r="AV1248">
        <v>415</v>
      </c>
      <c r="AW1248" s="4">
        <v>42779</v>
      </c>
      <c r="BD1248">
        <v>0</v>
      </c>
      <c r="BN1248" t="s">
        <v>74</v>
      </c>
    </row>
    <row r="1249" spans="1:66">
      <c r="A1249">
        <v>101700</v>
      </c>
      <c r="B1249" t="s">
        <v>305</v>
      </c>
      <c r="C1249" s="1">
        <v>43500101</v>
      </c>
      <c r="D1249" t="s">
        <v>98</v>
      </c>
      <c r="H1249" t="str">
        <f>"PRRRFL82P13A783D"</f>
        <v>PRRRFL82P13A783D</v>
      </c>
      <c r="I1249" t="str">
        <f>"01523240628"</f>
        <v>01523240628</v>
      </c>
      <c r="K1249" t="str">
        <f>""</f>
        <v/>
      </c>
      <c r="M1249" t="s">
        <v>68</v>
      </c>
      <c r="N1249" t="str">
        <f t="shared" si="161"/>
        <v>ALTPRO</v>
      </c>
      <c r="O1249" t="s">
        <v>116</v>
      </c>
      <c r="P1249" t="s">
        <v>75</v>
      </c>
      <c r="Q1249">
        <v>2017</v>
      </c>
      <c r="R1249" s="4">
        <v>42746</v>
      </c>
      <c r="S1249" s="2">
        <v>42747</v>
      </c>
      <c r="T1249" s="2">
        <v>42746</v>
      </c>
      <c r="U1249" s="4">
        <v>42806</v>
      </c>
      <c r="V1249" t="s">
        <v>71</v>
      </c>
      <c r="W1249" t="str">
        <f>"  000001-2017-PERRAF"</f>
        <v xml:space="preserve">  000001-2017-PERRAF</v>
      </c>
      <c r="X1249" s="1">
        <v>4442.68</v>
      </c>
      <c r="Y1249">
        <v>-888.54</v>
      </c>
      <c r="Z1249" s="5">
        <v>3554.14</v>
      </c>
      <c r="AA1249" s="3">
        <v>-41</v>
      </c>
      <c r="AB1249" s="5">
        <v>-145719.74</v>
      </c>
      <c r="AC1249" s="1">
        <v>3554.14</v>
      </c>
      <c r="AD1249">
        <v>-41</v>
      </c>
      <c r="AE1249" s="1">
        <v>-145719.74</v>
      </c>
      <c r="AF1249">
        <v>0</v>
      </c>
      <c r="AJ1249">
        <v>-888.54</v>
      </c>
      <c r="AK1249" s="1">
        <v>3554.14</v>
      </c>
      <c r="AL1249" s="1">
        <v>3554.14</v>
      </c>
      <c r="AM1249">
        <v>-888.54</v>
      </c>
      <c r="AN1249" s="1">
        <v>3554.14</v>
      </c>
      <c r="AO1249" s="1">
        <v>3554.14</v>
      </c>
      <c r="AP1249" s="2">
        <v>42831</v>
      </c>
      <c r="AQ1249" t="s">
        <v>72</v>
      </c>
      <c r="AR1249" t="s">
        <v>72</v>
      </c>
      <c r="AS1249">
        <v>124</v>
      </c>
      <c r="AT1249" s="4">
        <v>42765</v>
      </c>
      <c r="AV1249">
        <v>124</v>
      </c>
      <c r="AW1249" s="4">
        <v>42765</v>
      </c>
      <c r="BD1249">
        <v>0</v>
      </c>
      <c r="BN1249" t="s">
        <v>74</v>
      </c>
    </row>
    <row r="1250" spans="1:66">
      <c r="A1250">
        <v>101701</v>
      </c>
      <c r="B1250" t="s">
        <v>306</v>
      </c>
      <c r="C1250" s="1">
        <v>43500101</v>
      </c>
      <c r="D1250" t="s">
        <v>98</v>
      </c>
      <c r="H1250" t="str">
        <f>"PRCVCN79D42A783I"</f>
        <v>PRCVCN79D42A783I</v>
      </c>
      <c r="I1250" t="str">
        <f>"01509880629"</f>
        <v>01509880629</v>
      </c>
      <c r="K1250" t="str">
        <f>""</f>
        <v/>
      </c>
      <c r="M1250" t="s">
        <v>68</v>
      </c>
      <c r="N1250" t="str">
        <f t="shared" si="161"/>
        <v>ALTPRO</v>
      </c>
      <c r="O1250" t="s">
        <v>116</v>
      </c>
      <c r="P1250" t="s">
        <v>75</v>
      </c>
      <c r="Q1250">
        <v>2017</v>
      </c>
      <c r="R1250" s="4">
        <v>42744</v>
      </c>
      <c r="S1250" s="2">
        <v>42747</v>
      </c>
      <c r="T1250" s="2">
        <v>42745</v>
      </c>
      <c r="U1250" s="4">
        <v>42805</v>
      </c>
      <c r="V1250" t="s">
        <v>71</v>
      </c>
      <c r="W1250" t="str">
        <f>"         FATTPA 1_17"</f>
        <v xml:space="preserve">         FATTPA 1_17</v>
      </c>
      <c r="X1250" s="1">
        <v>2423.2800000000002</v>
      </c>
      <c r="Y1250">
        <v>-484.66</v>
      </c>
      <c r="Z1250" s="5">
        <v>1938.62</v>
      </c>
      <c r="AA1250" s="3">
        <v>-40</v>
      </c>
      <c r="AB1250" s="5">
        <v>-77544.800000000003</v>
      </c>
      <c r="AC1250" s="1">
        <v>1938.62</v>
      </c>
      <c r="AD1250">
        <v>-40</v>
      </c>
      <c r="AE1250" s="1">
        <v>-77544.800000000003</v>
      </c>
      <c r="AF1250">
        <v>0</v>
      </c>
      <c r="AJ1250">
        <v>-484.66</v>
      </c>
      <c r="AK1250" s="1">
        <v>1938.62</v>
      </c>
      <c r="AL1250" s="1">
        <v>1938.62</v>
      </c>
      <c r="AM1250">
        <v>-484.66</v>
      </c>
      <c r="AN1250" s="1">
        <v>1938.62</v>
      </c>
      <c r="AO1250" s="1">
        <v>1938.62</v>
      </c>
      <c r="AP1250" s="2">
        <v>42831</v>
      </c>
      <c r="AQ1250" t="s">
        <v>72</v>
      </c>
      <c r="AR1250" t="s">
        <v>72</v>
      </c>
      <c r="AS1250">
        <v>136</v>
      </c>
      <c r="AT1250" s="4">
        <v>42765</v>
      </c>
      <c r="AV1250">
        <v>136</v>
      </c>
      <c r="AW1250" s="4">
        <v>42765</v>
      </c>
      <c r="BD1250">
        <v>0</v>
      </c>
      <c r="BN1250" t="s">
        <v>74</v>
      </c>
    </row>
    <row r="1251" spans="1:66">
      <c r="A1251">
        <v>101701</v>
      </c>
      <c r="B1251" t="s">
        <v>306</v>
      </c>
      <c r="C1251" s="1">
        <v>43500101</v>
      </c>
      <c r="D1251" t="s">
        <v>98</v>
      </c>
      <c r="H1251" t="str">
        <f>"PRCVCN79D42A783I"</f>
        <v>PRCVCN79D42A783I</v>
      </c>
      <c r="I1251" t="str">
        <f>"01509880629"</f>
        <v>01509880629</v>
      </c>
      <c r="K1251" t="str">
        <f>""</f>
        <v/>
      </c>
      <c r="M1251" t="s">
        <v>68</v>
      </c>
      <c r="N1251" t="str">
        <f t="shared" si="161"/>
        <v>ALTPRO</v>
      </c>
      <c r="O1251" t="s">
        <v>116</v>
      </c>
      <c r="P1251" t="s">
        <v>75</v>
      </c>
      <c r="Q1251">
        <v>2017</v>
      </c>
      <c r="R1251" s="4">
        <v>42790</v>
      </c>
      <c r="S1251" s="2">
        <v>42793</v>
      </c>
      <c r="T1251" s="2">
        <v>42790</v>
      </c>
      <c r="U1251" s="4">
        <v>42850</v>
      </c>
      <c r="V1251" t="s">
        <v>71</v>
      </c>
      <c r="W1251" t="str">
        <f>"         FATTPA 2_17"</f>
        <v xml:space="preserve">         FATTPA 2_17</v>
      </c>
      <c r="X1251" s="1">
        <v>2634</v>
      </c>
      <c r="Y1251">
        <v>-526.79999999999995</v>
      </c>
      <c r="Z1251" s="5">
        <v>2107.1999999999998</v>
      </c>
      <c r="AA1251" s="3">
        <v>-55</v>
      </c>
      <c r="AB1251" s="5">
        <v>-115896</v>
      </c>
      <c r="AC1251" s="1">
        <v>2107.1999999999998</v>
      </c>
      <c r="AD1251">
        <v>-55</v>
      </c>
      <c r="AE1251" s="1">
        <v>-115896</v>
      </c>
      <c r="AF1251">
        <v>0</v>
      </c>
      <c r="AJ1251" s="1">
        <v>2107.1999999999998</v>
      </c>
      <c r="AK1251" s="1">
        <v>2107.1999999999998</v>
      </c>
      <c r="AL1251" s="1">
        <v>2107.1999999999998</v>
      </c>
      <c r="AM1251" s="1">
        <v>2107.1999999999998</v>
      </c>
      <c r="AN1251" s="1">
        <v>2107.1999999999998</v>
      </c>
      <c r="AO1251" s="1">
        <v>2107.1999999999998</v>
      </c>
      <c r="AP1251" s="2">
        <v>42831</v>
      </c>
      <c r="AQ1251" t="s">
        <v>72</v>
      </c>
      <c r="AR1251" t="s">
        <v>72</v>
      </c>
      <c r="AS1251">
        <v>652</v>
      </c>
      <c r="AT1251" s="4">
        <v>42795</v>
      </c>
      <c r="AV1251">
        <v>652</v>
      </c>
      <c r="AW1251" s="4">
        <v>42795</v>
      </c>
      <c r="BD1251">
        <v>0</v>
      </c>
      <c r="BN1251" t="s">
        <v>74</v>
      </c>
    </row>
    <row r="1252" spans="1:66">
      <c r="A1252">
        <v>101709</v>
      </c>
      <c r="B1252" t="s">
        <v>307</v>
      </c>
      <c r="C1252" s="1">
        <v>43300101</v>
      </c>
      <c r="D1252" t="s">
        <v>67</v>
      </c>
      <c r="H1252" t="str">
        <f>"06088781213"</f>
        <v>06088781213</v>
      </c>
      <c r="I1252" t="str">
        <f>"06088781213"</f>
        <v>06088781213</v>
      </c>
      <c r="K1252" t="str">
        <f>""</f>
        <v/>
      </c>
      <c r="M1252" t="s">
        <v>68</v>
      </c>
      <c r="N1252" t="str">
        <f>"FOR"</f>
        <v>FOR</v>
      </c>
      <c r="O1252" t="s">
        <v>69</v>
      </c>
      <c r="P1252" t="s">
        <v>75</v>
      </c>
      <c r="Q1252">
        <v>2016</v>
      </c>
      <c r="R1252" s="4">
        <v>42725</v>
      </c>
      <c r="S1252" s="2">
        <v>42727</v>
      </c>
      <c r="T1252" s="2">
        <v>42726</v>
      </c>
      <c r="U1252" s="4">
        <v>42786</v>
      </c>
      <c r="V1252" t="s">
        <v>71</v>
      </c>
      <c r="W1252" t="str">
        <f>"               3/134"</f>
        <v xml:space="preserve">               3/134</v>
      </c>
      <c r="X1252" s="1">
        <v>1152.9000000000001</v>
      </c>
      <c r="Y1252">
        <v>0</v>
      </c>
      <c r="Z1252" s="5">
        <v>945</v>
      </c>
      <c r="AA1252" s="3">
        <v>-18</v>
      </c>
      <c r="AB1252" s="5">
        <v>-17010</v>
      </c>
      <c r="AC1252">
        <v>945</v>
      </c>
      <c r="AD1252">
        <v>-18</v>
      </c>
      <c r="AE1252" s="1">
        <v>-17010</v>
      </c>
      <c r="AF1252">
        <v>0</v>
      </c>
      <c r="AJ1252">
        <v>0</v>
      </c>
      <c r="AK1252">
        <v>0</v>
      </c>
      <c r="AL1252">
        <v>0</v>
      </c>
      <c r="AM1252">
        <v>0</v>
      </c>
      <c r="AN1252">
        <v>0</v>
      </c>
      <c r="AO1252">
        <v>0</v>
      </c>
      <c r="AP1252" s="2">
        <v>42831</v>
      </c>
      <c r="AQ1252" t="s">
        <v>72</v>
      </c>
      <c r="AR1252" t="s">
        <v>72</v>
      </c>
      <c r="AS1252">
        <v>284</v>
      </c>
      <c r="AT1252" s="4">
        <v>42768</v>
      </c>
      <c r="AV1252">
        <v>284</v>
      </c>
      <c r="AW1252" s="4">
        <v>42768</v>
      </c>
      <c r="BD1252">
        <v>0</v>
      </c>
      <c r="BN1252" t="s">
        <v>74</v>
      </c>
    </row>
    <row r="1253" spans="1:66">
      <c r="A1253">
        <v>101710</v>
      </c>
      <c r="B1253" t="s">
        <v>308</v>
      </c>
      <c r="C1253" s="1">
        <v>43300101</v>
      </c>
      <c r="D1253" t="s">
        <v>67</v>
      </c>
      <c r="H1253" t="str">
        <f>"07275210636"</f>
        <v>07275210636</v>
      </c>
      <c r="I1253" t="str">
        <f>"07275210636"</f>
        <v>07275210636</v>
      </c>
      <c r="K1253" t="str">
        <f>""</f>
        <v/>
      </c>
      <c r="M1253" t="s">
        <v>68</v>
      </c>
      <c r="N1253" t="str">
        <f>"FOR"</f>
        <v>FOR</v>
      </c>
      <c r="O1253" t="s">
        <v>69</v>
      </c>
      <c r="P1253" t="s">
        <v>75</v>
      </c>
      <c r="Q1253">
        <v>2016</v>
      </c>
      <c r="R1253" s="4">
        <v>42454</v>
      </c>
      <c r="S1253" s="2">
        <v>42471</v>
      </c>
      <c r="T1253" s="2">
        <v>42458</v>
      </c>
      <c r="U1253" s="4">
        <v>42518</v>
      </c>
      <c r="V1253" t="s">
        <v>71</v>
      </c>
      <c r="W1253" t="str">
        <f>"               47/CV"</f>
        <v xml:space="preserve">               47/CV</v>
      </c>
      <c r="X1253" s="1">
        <v>40822.42</v>
      </c>
      <c r="Y1253">
        <v>0</v>
      </c>
      <c r="Z1253" s="5">
        <v>33461</v>
      </c>
      <c r="AA1253" s="3">
        <v>256</v>
      </c>
      <c r="AB1253" s="5">
        <v>8566016</v>
      </c>
      <c r="AC1253" s="1">
        <v>33461</v>
      </c>
      <c r="AD1253">
        <v>256</v>
      </c>
      <c r="AE1253" s="1">
        <v>8566016</v>
      </c>
      <c r="AF1253">
        <v>0</v>
      </c>
      <c r="AJ1253">
        <v>0</v>
      </c>
      <c r="AK1253">
        <v>0</v>
      </c>
      <c r="AL1253">
        <v>0</v>
      </c>
      <c r="AM1253">
        <v>0</v>
      </c>
      <c r="AN1253">
        <v>0</v>
      </c>
      <c r="AO1253">
        <v>0</v>
      </c>
      <c r="AP1253" s="2">
        <v>42831</v>
      </c>
      <c r="AQ1253" t="s">
        <v>72</v>
      </c>
      <c r="AR1253" t="s">
        <v>72</v>
      </c>
      <c r="AS1253">
        <v>349</v>
      </c>
      <c r="AT1253" s="4">
        <v>42774</v>
      </c>
      <c r="AU1253" t="s">
        <v>73</v>
      </c>
      <c r="AV1253">
        <v>349</v>
      </c>
      <c r="AW1253" s="4">
        <v>42774</v>
      </c>
      <c r="BD1253">
        <v>0</v>
      </c>
      <c r="BN1253" t="s">
        <v>74</v>
      </c>
    </row>
    <row r="1254" spans="1:66">
      <c r="A1254">
        <v>101710</v>
      </c>
      <c r="B1254" t="s">
        <v>308</v>
      </c>
      <c r="C1254" s="1">
        <v>43300101</v>
      </c>
      <c r="D1254" t="s">
        <v>67</v>
      </c>
      <c r="H1254" t="str">
        <f>"07275210636"</f>
        <v>07275210636</v>
      </c>
      <c r="I1254" t="str">
        <f>"07275210636"</f>
        <v>07275210636</v>
      </c>
      <c r="K1254" t="str">
        <f>""</f>
        <v/>
      </c>
      <c r="M1254" t="s">
        <v>68</v>
      </c>
      <c r="N1254" t="str">
        <f>"FOR"</f>
        <v>FOR</v>
      </c>
      <c r="O1254" t="s">
        <v>69</v>
      </c>
      <c r="P1254" t="s">
        <v>75</v>
      </c>
      <c r="Q1254">
        <v>2016</v>
      </c>
      <c r="R1254" s="4">
        <v>42489</v>
      </c>
      <c r="S1254" s="2">
        <v>42502</v>
      </c>
      <c r="T1254" s="2">
        <v>42499</v>
      </c>
      <c r="U1254" s="4">
        <v>42559</v>
      </c>
      <c r="V1254" t="s">
        <v>71</v>
      </c>
      <c r="W1254" t="str">
        <f>"               88/CV"</f>
        <v xml:space="preserve">               88/CV</v>
      </c>
      <c r="X1254" s="1">
        <v>23899.8</v>
      </c>
      <c r="Y1254">
        <v>0</v>
      </c>
      <c r="Z1254" s="5">
        <v>19590</v>
      </c>
      <c r="AA1254" s="3">
        <v>223</v>
      </c>
      <c r="AB1254" s="5">
        <v>4368570</v>
      </c>
      <c r="AC1254" s="1">
        <v>19590</v>
      </c>
      <c r="AD1254">
        <v>223</v>
      </c>
      <c r="AE1254" s="1">
        <v>4368570</v>
      </c>
      <c r="AF1254">
        <v>0</v>
      </c>
      <c r="AJ1254">
        <v>0</v>
      </c>
      <c r="AK1254">
        <v>0</v>
      </c>
      <c r="AL1254">
        <v>0</v>
      </c>
      <c r="AM1254">
        <v>0</v>
      </c>
      <c r="AN1254">
        <v>0</v>
      </c>
      <c r="AO1254">
        <v>0</v>
      </c>
      <c r="AP1254" s="2">
        <v>42831</v>
      </c>
      <c r="AQ1254" t="s">
        <v>72</v>
      </c>
      <c r="AR1254" t="s">
        <v>72</v>
      </c>
      <c r="AS1254">
        <v>473</v>
      </c>
      <c r="AT1254" s="4">
        <v>42782</v>
      </c>
      <c r="AU1254" t="s">
        <v>73</v>
      </c>
      <c r="AV1254">
        <v>473</v>
      </c>
      <c r="AW1254" s="4">
        <v>42782</v>
      </c>
      <c r="BD1254">
        <v>0</v>
      </c>
      <c r="BN1254" t="s">
        <v>74</v>
      </c>
    </row>
    <row r="1255" spans="1:66">
      <c r="A1255">
        <v>101711</v>
      </c>
      <c r="B1255" t="s">
        <v>309</v>
      </c>
      <c r="C1255" s="1">
        <v>43300101</v>
      </c>
      <c r="D1255" t="s">
        <v>67</v>
      </c>
      <c r="H1255" t="str">
        <f>"06436131210"</f>
        <v>06436131210</v>
      </c>
      <c r="I1255" t="str">
        <f>"06436131210"</f>
        <v>06436131210</v>
      </c>
      <c r="K1255" t="str">
        <f>""</f>
        <v/>
      </c>
      <c r="M1255" t="s">
        <v>68</v>
      </c>
      <c r="N1255" t="str">
        <f>"FOR"</f>
        <v>FOR</v>
      </c>
      <c r="O1255" t="s">
        <v>69</v>
      </c>
      <c r="P1255" t="s">
        <v>75</v>
      </c>
      <c r="Q1255">
        <v>2016</v>
      </c>
      <c r="R1255" s="4">
        <v>42668</v>
      </c>
      <c r="S1255" s="2">
        <v>42697</v>
      </c>
      <c r="T1255" s="2">
        <v>42695</v>
      </c>
      <c r="U1255" s="4">
        <v>42755</v>
      </c>
      <c r="V1255" t="s">
        <v>71</v>
      </c>
      <c r="W1255" t="str">
        <f>"               PA426"</f>
        <v xml:space="preserve">               PA426</v>
      </c>
      <c r="X1255">
        <v>59.28</v>
      </c>
      <c r="Y1255">
        <v>0</v>
      </c>
      <c r="Z1255" s="5">
        <v>57</v>
      </c>
      <c r="AA1255" s="3">
        <v>13</v>
      </c>
      <c r="AB1255" s="3">
        <v>741</v>
      </c>
      <c r="AC1255">
        <v>57</v>
      </c>
      <c r="AD1255">
        <v>13</v>
      </c>
      <c r="AE1255">
        <v>741</v>
      </c>
      <c r="AF1255">
        <v>0</v>
      </c>
      <c r="AJ1255">
        <v>0</v>
      </c>
      <c r="AK1255">
        <v>0</v>
      </c>
      <c r="AL1255">
        <v>0</v>
      </c>
      <c r="AM1255">
        <v>0</v>
      </c>
      <c r="AN1255">
        <v>0</v>
      </c>
      <c r="AO1255">
        <v>0</v>
      </c>
      <c r="AP1255" s="2">
        <v>42831</v>
      </c>
      <c r="AQ1255" t="s">
        <v>72</v>
      </c>
      <c r="AR1255" t="s">
        <v>72</v>
      </c>
      <c r="AS1255">
        <v>250</v>
      </c>
      <c r="AT1255" s="4">
        <v>42768</v>
      </c>
      <c r="AU1255" t="s">
        <v>73</v>
      </c>
      <c r="AV1255">
        <v>250</v>
      </c>
      <c r="AW1255" s="4">
        <v>42768</v>
      </c>
      <c r="BD1255">
        <v>0</v>
      </c>
      <c r="BN1255" t="s">
        <v>74</v>
      </c>
    </row>
    <row r="1256" spans="1:66">
      <c r="A1256">
        <v>101711</v>
      </c>
      <c r="B1256" t="s">
        <v>309</v>
      </c>
      <c r="C1256" s="1">
        <v>43300101</v>
      </c>
      <c r="D1256" t="s">
        <v>67</v>
      </c>
      <c r="H1256" t="str">
        <f>"06436131210"</f>
        <v>06436131210</v>
      </c>
      <c r="I1256" t="str">
        <f>"06436131210"</f>
        <v>06436131210</v>
      </c>
      <c r="K1256" t="str">
        <f>""</f>
        <v/>
      </c>
      <c r="M1256" t="s">
        <v>68</v>
      </c>
      <c r="N1256" t="str">
        <f>"FOR"</f>
        <v>FOR</v>
      </c>
      <c r="O1256" t="s">
        <v>69</v>
      </c>
      <c r="P1256" t="s">
        <v>75</v>
      </c>
      <c r="Q1256">
        <v>2016</v>
      </c>
      <c r="R1256" s="4">
        <v>42695</v>
      </c>
      <c r="S1256" s="2">
        <v>42725</v>
      </c>
      <c r="T1256" s="2">
        <v>42723</v>
      </c>
      <c r="U1256" s="4">
        <v>42783</v>
      </c>
      <c r="V1256" t="s">
        <v>71</v>
      </c>
      <c r="W1256" t="str">
        <f>"               PA469"</f>
        <v xml:space="preserve">               PA469</v>
      </c>
      <c r="X1256" s="1">
        <v>3549.37</v>
      </c>
      <c r="Y1256">
        <v>0</v>
      </c>
      <c r="Z1256" s="5">
        <v>2909.32</v>
      </c>
      <c r="AB1256" s="3">
        <v>0</v>
      </c>
      <c r="AC1256" s="1">
        <v>2909.32</v>
      </c>
      <c r="AE1256">
        <v>0</v>
      </c>
      <c r="AF1256">
        <v>0</v>
      </c>
      <c r="AJ1256">
        <v>0</v>
      </c>
      <c r="AK1256">
        <v>0</v>
      </c>
      <c r="AL1256">
        <v>0</v>
      </c>
      <c r="AM1256">
        <v>0</v>
      </c>
      <c r="AN1256">
        <v>0</v>
      </c>
      <c r="AO1256">
        <v>0</v>
      </c>
      <c r="AP1256" s="2">
        <v>42831</v>
      </c>
      <c r="AQ1256" t="s">
        <v>72</v>
      </c>
      <c r="AR1256" t="s">
        <v>72</v>
      </c>
      <c r="AS1256">
        <v>496</v>
      </c>
      <c r="AT1256" s="4">
        <v>42783</v>
      </c>
      <c r="AV1256">
        <v>496</v>
      </c>
      <c r="AW1256" s="4">
        <v>42783</v>
      </c>
      <c r="BD1256">
        <v>0</v>
      </c>
      <c r="BN1256" t="s">
        <v>74</v>
      </c>
    </row>
    <row r="1257" spans="1:66">
      <c r="A1257">
        <v>101713</v>
      </c>
      <c r="B1257" t="s">
        <v>310</v>
      </c>
      <c r="C1257" s="1">
        <v>43500101</v>
      </c>
      <c r="D1257" t="s">
        <v>98</v>
      </c>
      <c r="H1257" t="str">
        <f>"CRFNGL58A13A024M"</f>
        <v>CRFNGL58A13A024M</v>
      </c>
      <c r="I1257" t="str">
        <f>""</f>
        <v/>
      </c>
      <c r="K1257" t="str">
        <f>""</f>
        <v/>
      </c>
      <c r="M1257" t="s">
        <v>68</v>
      </c>
      <c r="N1257" t="str">
        <f>"ALTPRO"</f>
        <v>ALTPRO</v>
      </c>
      <c r="O1257" t="s">
        <v>116</v>
      </c>
      <c r="P1257" t="s">
        <v>311</v>
      </c>
      <c r="Q1257">
        <v>2017</v>
      </c>
      <c r="R1257" s="4">
        <v>42765</v>
      </c>
      <c r="S1257" s="2">
        <v>42765</v>
      </c>
      <c r="T1257" s="2">
        <v>42765</v>
      </c>
      <c r="U1257" s="4">
        <v>42825</v>
      </c>
      <c r="V1257" t="s">
        <v>71</v>
      </c>
      <c r="W1257" t="str">
        <f>"                  14"</f>
        <v xml:space="preserve">                  14</v>
      </c>
      <c r="X1257">
        <v>0</v>
      </c>
      <c r="Y1257" s="1">
        <v>1258.98</v>
      </c>
      <c r="Z1257" s="5">
        <v>1258.98</v>
      </c>
      <c r="AA1257" s="3">
        <v>-60</v>
      </c>
      <c r="AB1257" s="5">
        <v>-75538.8</v>
      </c>
      <c r="AC1257" s="1">
        <v>1258.98</v>
      </c>
      <c r="AD1257">
        <v>-60</v>
      </c>
      <c r="AE1257" s="1">
        <v>-75538.8</v>
      </c>
      <c r="AF1257">
        <v>0</v>
      </c>
      <c r="AJ1257" s="1">
        <v>1258.98</v>
      </c>
      <c r="AK1257" s="1">
        <v>1258.98</v>
      </c>
      <c r="AL1257" s="1">
        <v>1258.98</v>
      </c>
      <c r="AM1257" s="1">
        <v>1258.98</v>
      </c>
      <c r="AN1257" s="1">
        <v>1258.98</v>
      </c>
      <c r="AO1257" s="1">
        <v>1258.98</v>
      </c>
      <c r="AP1257" s="2">
        <v>42831</v>
      </c>
      <c r="AQ1257" t="s">
        <v>72</v>
      </c>
      <c r="AR1257" t="s">
        <v>72</v>
      </c>
      <c r="AS1257">
        <v>150</v>
      </c>
      <c r="AT1257" s="4">
        <v>42765</v>
      </c>
      <c r="AV1257">
        <v>150</v>
      </c>
      <c r="AW1257" s="4">
        <v>42765</v>
      </c>
      <c r="BD1257">
        <v>0</v>
      </c>
      <c r="BN1257" t="s">
        <v>74</v>
      </c>
    </row>
    <row r="1258" spans="1:66">
      <c r="A1258">
        <v>101713</v>
      </c>
      <c r="B1258" t="s">
        <v>310</v>
      </c>
      <c r="C1258" s="1">
        <v>43500101</v>
      </c>
      <c r="D1258" t="s">
        <v>98</v>
      </c>
      <c r="H1258" t="str">
        <f>"CRFNGL58A13A024M"</f>
        <v>CRFNGL58A13A024M</v>
      </c>
      <c r="I1258" t="str">
        <f>""</f>
        <v/>
      </c>
      <c r="K1258" t="str">
        <f>""</f>
        <v/>
      </c>
      <c r="M1258" t="s">
        <v>68</v>
      </c>
      <c r="N1258" t="str">
        <f>"ALTPRO"</f>
        <v>ALTPRO</v>
      </c>
      <c r="O1258" t="s">
        <v>116</v>
      </c>
      <c r="P1258" t="s">
        <v>311</v>
      </c>
      <c r="Q1258">
        <v>2017</v>
      </c>
      <c r="R1258" s="4">
        <v>42793</v>
      </c>
      <c r="S1258" s="2">
        <v>42793</v>
      </c>
      <c r="T1258" s="2">
        <v>42793</v>
      </c>
      <c r="U1258" s="4">
        <v>42853</v>
      </c>
      <c r="V1258" t="s">
        <v>71</v>
      </c>
      <c r="W1258" t="str">
        <f>"                  36"</f>
        <v xml:space="preserve">                  36</v>
      </c>
      <c r="X1258">
        <v>0</v>
      </c>
      <c r="Y1258" s="1">
        <v>1258.98</v>
      </c>
      <c r="Z1258" s="5">
        <v>1258.98</v>
      </c>
      <c r="AA1258" s="3">
        <v>-60</v>
      </c>
      <c r="AB1258" s="5">
        <v>-75538.8</v>
      </c>
      <c r="AC1258" s="1">
        <v>1258.98</v>
      </c>
      <c r="AD1258">
        <v>-60</v>
      </c>
      <c r="AE1258" s="1">
        <v>-75538.8</v>
      </c>
      <c r="AF1258">
        <v>0</v>
      </c>
      <c r="AJ1258" s="1">
        <v>1258.98</v>
      </c>
      <c r="AK1258" s="1">
        <v>1258.98</v>
      </c>
      <c r="AL1258" s="1">
        <v>1258.98</v>
      </c>
      <c r="AM1258" s="1">
        <v>1258.98</v>
      </c>
      <c r="AN1258" s="1">
        <v>1258.98</v>
      </c>
      <c r="AO1258" s="1">
        <v>1258.98</v>
      </c>
      <c r="AP1258" s="2">
        <v>42831</v>
      </c>
      <c r="AQ1258" t="s">
        <v>72</v>
      </c>
      <c r="AR1258" t="s">
        <v>72</v>
      </c>
      <c r="AS1258">
        <v>602</v>
      </c>
      <c r="AT1258" s="4">
        <v>42793</v>
      </c>
      <c r="AV1258">
        <v>602</v>
      </c>
      <c r="AW1258" s="4">
        <v>42793</v>
      </c>
      <c r="BD1258">
        <v>0</v>
      </c>
      <c r="BN1258" t="s">
        <v>74</v>
      </c>
    </row>
    <row r="1259" spans="1:66">
      <c r="A1259">
        <v>101716</v>
      </c>
      <c r="B1259" t="s">
        <v>312</v>
      </c>
      <c r="C1259" s="1">
        <v>43300101</v>
      </c>
      <c r="D1259" t="s">
        <v>67</v>
      </c>
      <c r="H1259" t="str">
        <f>"01425920624"</f>
        <v>01425920624</v>
      </c>
      <c r="I1259" t="str">
        <f>"01425920624"</f>
        <v>01425920624</v>
      </c>
      <c r="K1259" t="str">
        <f>""</f>
        <v/>
      </c>
      <c r="M1259" t="s">
        <v>68</v>
      </c>
      <c r="N1259" t="str">
        <f t="shared" ref="N1259:N1290" si="162">"FOR"</f>
        <v>FOR</v>
      </c>
      <c r="O1259" t="s">
        <v>69</v>
      </c>
      <c r="P1259" t="s">
        <v>75</v>
      </c>
      <c r="Q1259">
        <v>2016</v>
      </c>
      <c r="R1259" s="4">
        <v>42635</v>
      </c>
      <c r="S1259" s="2">
        <v>42639</v>
      </c>
      <c r="T1259" s="2">
        <v>42639</v>
      </c>
      <c r="U1259" s="4">
        <v>42699</v>
      </c>
      <c r="V1259" t="s">
        <v>71</v>
      </c>
      <c r="W1259" t="str">
        <f>"                  33"</f>
        <v xml:space="preserve">                  33</v>
      </c>
      <c r="X1259">
        <v>610</v>
      </c>
      <c r="Y1259">
        <v>0</v>
      </c>
      <c r="Z1259" s="5">
        <v>500</v>
      </c>
      <c r="AA1259" s="3">
        <v>69</v>
      </c>
      <c r="AB1259" s="5">
        <v>34500</v>
      </c>
      <c r="AC1259">
        <v>500</v>
      </c>
      <c r="AD1259">
        <v>69</v>
      </c>
      <c r="AE1259" s="1">
        <v>34500</v>
      </c>
      <c r="AF1259">
        <v>0</v>
      </c>
      <c r="AJ1259">
        <v>0</v>
      </c>
      <c r="AK1259">
        <v>0</v>
      </c>
      <c r="AL1259">
        <v>0</v>
      </c>
      <c r="AM1259">
        <v>0</v>
      </c>
      <c r="AN1259">
        <v>0</v>
      </c>
      <c r="AO1259">
        <v>0</v>
      </c>
      <c r="AP1259" s="2">
        <v>42831</v>
      </c>
      <c r="AQ1259" t="s">
        <v>72</v>
      </c>
      <c r="AR1259" t="s">
        <v>72</v>
      </c>
      <c r="AS1259">
        <v>255</v>
      </c>
      <c r="AT1259" s="4">
        <v>42768</v>
      </c>
      <c r="AU1259" t="s">
        <v>73</v>
      </c>
      <c r="AV1259">
        <v>255</v>
      </c>
      <c r="AW1259" s="4">
        <v>42768</v>
      </c>
      <c r="BD1259">
        <v>0</v>
      </c>
      <c r="BN1259" t="s">
        <v>74</v>
      </c>
    </row>
    <row r="1260" spans="1:66">
      <c r="A1260">
        <v>101732</v>
      </c>
      <c r="B1260" t="s">
        <v>313</v>
      </c>
      <c r="C1260" s="1">
        <v>43300101</v>
      </c>
      <c r="D1260" t="s">
        <v>67</v>
      </c>
      <c r="H1260" t="str">
        <f>"01270690587"</f>
        <v>01270690587</v>
      </c>
      <c r="I1260" t="str">
        <f>"00980351001"</f>
        <v>00980351001</v>
      </c>
      <c r="K1260" t="str">
        <f>""</f>
        <v/>
      </c>
      <c r="M1260" t="s">
        <v>68</v>
      </c>
      <c r="N1260" t="str">
        <f t="shared" si="162"/>
        <v>FOR</v>
      </c>
      <c r="O1260" t="s">
        <v>69</v>
      </c>
      <c r="P1260" t="s">
        <v>75</v>
      </c>
      <c r="Q1260">
        <v>2016</v>
      </c>
      <c r="R1260" s="4">
        <v>42490</v>
      </c>
      <c r="S1260" s="2">
        <v>42500</v>
      </c>
      <c r="T1260" s="2">
        <v>42500</v>
      </c>
      <c r="U1260" s="4">
        <v>42560</v>
      </c>
      <c r="V1260" t="s">
        <v>71</v>
      </c>
      <c r="W1260" t="str">
        <f>"               14/PA"</f>
        <v xml:space="preserve">               14/PA</v>
      </c>
      <c r="X1260" s="1">
        <v>3172</v>
      </c>
      <c r="Y1260">
        <v>0</v>
      </c>
      <c r="Z1260" s="5">
        <v>2600</v>
      </c>
      <c r="AA1260" s="3">
        <v>215</v>
      </c>
      <c r="AB1260" s="5">
        <v>559000</v>
      </c>
      <c r="AC1260" s="1">
        <v>2600</v>
      </c>
      <c r="AD1260">
        <v>215</v>
      </c>
      <c r="AE1260" s="1">
        <v>559000</v>
      </c>
      <c r="AF1260">
        <v>0</v>
      </c>
      <c r="AJ1260">
        <v>0</v>
      </c>
      <c r="AK1260">
        <v>0</v>
      </c>
      <c r="AL1260">
        <v>0</v>
      </c>
      <c r="AM1260">
        <v>0</v>
      </c>
      <c r="AN1260">
        <v>0</v>
      </c>
      <c r="AO1260">
        <v>0</v>
      </c>
      <c r="AP1260" s="2">
        <v>42831</v>
      </c>
      <c r="AQ1260" t="s">
        <v>72</v>
      </c>
      <c r="AR1260" t="s">
        <v>72</v>
      </c>
      <c r="AS1260">
        <v>368</v>
      </c>
      <c r="AT1260" s="4">
        <v>42775</v>
      </c>
      <c r="AU1260" t="s">
        <v>73</v>
      </c>
      <c r="AV1260">
        <v>368</v>
      </c>
      <c r="AW1260" s="4">
        <v>42775</v>
      </c>
      <c r="BD1260">
        <v>0</v>
      </c>
      <c r="BN1260" t="s">
        <v>74</v>
      </c>
    </row>
    <row r="1261" spans="1:66">
      <c r="A1261">
        <v>101732</v>
      </c>
      <c r="B1261" t="s">
        <v>313</v>
      </c>
      <c r="C1261" s="1">
        <v>43300101</v>
      </c>
      <c r="D1261" t="s">
        <v>67</v>
      </c>
      <c r="H1261" t="str">
        <f>"01270690587"</f>
        <v>01270690587</v>
      </c>
      <c r="I1261" t="str">
        <f>"00980351001"</f>
        <v>00980351001</v>
      </c>
      <c r="K1261" t="str">
        <f>""</f>
        <v/>
      </c>
      <c r="M1261" t="s">
        <v>68</v>
      </c>
      <c r="N1261" t="str">
        <f t="shared" si="162"/>
        <v>FOR</v>
      </c>
      <c r="O1261" t="s">
        <v>69</v>
      </c>
      <c r="P1261" t="s">
        <v>75</v>
      </c>
      <c r="Q1261">
        <v>2016</v>
      </c>
      <c r="R1261" s="4">
        <v>42551</v>
      </c>
      <c r="S1261" s="2">
        <v>42562</v>
      </c>
      <c r="T1261" s="2">
        <v>42559</v>
      </c>
      <c r="U1261" s="4">
        <v>42619</v>
      </c>
      <c r="V1261" t="s">
        <v>71</v>
      </c>
      <c r="W1261" t="str">
        <f>"               20/PA"</f>
        <v xml:space="preserve">               20/PA</v>
      </c>
      <c r="X1261" s="1">
        <v>3172</v>
      </c>
      <c r="Y1261">
        <v>0</v>
      </c>
      <c r="Z1261" s="5">
        <v>2600</v>
      </c>
      <c r="AA1261" s="3">
        <v>156</v>
      </c>
      <c r="AB1261" s="5">
        <v>405600</v>
      </c>
      <c r="AC1261" s="1">
        <v>2600</v>
      </c>
      <c r="AD1261">
        <v>156</v>
      </c>
      <c r="AE1261" s="1">
        <v>405600</v>
      </c>
      <c r="AF1261">
        <v>0</v>
      </c>
      <c r="AJ1261">
        <v>0</v>
      </c>
      <c r="AK1261">
        <v>0</v>
      </c>
      <c r="AL1261">
        <v>0</v>
      </c>
      <c r="AM1261">
        <v>0</v>
      </c>
      <c r="AN1261">
        <v>0</v>
      </c>
      <c r="AO1261">
        <v>0</v>
      </c>
      <c r="AP1261" s="2">
        <v>42831</v>
      </c>
      <c r="AQ1261" t="s">
        <v>72</v>
      </c>
      <c r="AR1261" t="s">
        <v>72</v>
      </c>
      <c r="AS1261">
        <v>368</v>
      </c>
      <c r="AT1261" s="4">
        <v>42775</v>
      </c>
      <c r="AU1261" t="s">
        <v>73</v>
      </c>
      <c r="AV1261">
        <v>368</v>
      </c>
      <c r="AW1261" s="4">
        <v>42775</v>
      </c>
      <c r="BD1261">
        <v>0</v>
      </c>
      <c r="BN1261" t="s">
        <v>74</v>
      </c>
    </row>
    <row r="1262" spans="1:66">
      <c r="A1262">
        <v>101732</v>
      </c>
      <c r="B1262" t="s">
        <v>313</v>
      </c>
      <c r="C1262" s="1">
        <v>43300101</v>
      </c>
      <c r="D1262" t="s">
        <v>67</v>
      </c>
      <c r="H1262" t="str">
        <f>"01270690587"</f>
        <v>01270690587</v>
      </c>
      <c r="I1262" t="str">
        <f>"00980351001"</f>
        <v>00980351001</v>
      </c>
      <c r="K1262" t="str">
        <f>""</f>
        <v/>
      </c>
      <c r="M1262" t="s">
        <v>68</v>
      </c>
      <c r="N1262" t="str">
        <f t="shared" si="162"/>
        <v>FOR</v>
      </c>
      <c r="O1262" t="s">
        <v>69</v>
      </c>
      <c r="P1262" t="s">
        <v>75</v>
      </c>
      <c r="Q1262">
        <v>2016</v>
      </c>
      <c r="R1262" s="4">
        <v>42674</v>
      </c>
      <c r="S1262" s="2">
        <v>42677</v>
      </c>
      <c r="T1262" s="2">
        <v>42676</v>
      </c>
      <c r="U1262" s="4">
        <v>42736</v>
      </c>
      <c r="V1262" t="s">
        <v>71</v>
      </c>
      <c r="W1262" t="str">
        <f>"               35/PA"</f>
        <v xml:space="preserve">               35/PA</v>
      </c>
      <c r="X1262" s="1">
        <v>3172</v>
      </c>
      <c r="Y1262">
        <v>0</v>
      </c>
      <c r="Z1262" s="5">
        <v>2600</v>
      </c>
      <c r="AA1262" s="3">
        <v>39</v>
      </c>
      <c r="AB1262" s="5">
        <v>101400</v>
      </c>
      <c r="AC1262" s="1">
        <v>2600</v>
      </c>
      <c r="AD1262">
        <v>39</v>
      </c>
      <c r="AE1262" s="1">
        <v>101400</v>
      </c>
      <c r="AF1262">
        <v>0</v>
      </c>
      <c r="AJ1262">
        <v>0</v>
      </c>
      <c r="AK1262">
        <v>0</v>
      </c>
      <c r="AL1262">
        <v>0</v>
      </c>
      <c r="AM1262">
        <v>0</v>
      </c>
      <c r="AN1262">
        <v>0</v>
      </c>
      <c r="AO1262">
        <v>0</v>
      </c>
      <c r="AP1262" s="2">
        <v>42831</v>
      </c>
      <c r="AQ1262" t="s">
        <v>72</v>
      </c>
      <c r="AR1262" t="s">
        <v>72</v>
      </c>
      <c r="AS1262">
        <v>368</v>
      </c>
      <c r="AT1262" s="4">
        <v>42775</v>
      </c>
      <c r="AU1262" t="s">
        <v>73</v>
      </c>
      <c r="AV1262">
        <v>368</v>
      </c>
      <c r="AW1262" s="4">
        <v>42775</v>
      </c>
      <c r="BD1262">
        <v>0</v>
      </c>
      <c r="BN1262" t="s">
        <v>74</v>
      </c>
    </row>
    <row r="1263" spans="1:66">
      <c r="A1263">
        <v>101732</v>
      </c>
      <c r="B1263" t="s">
        <v>313</v>
      </c>
      <c r="C1263" s="1">
        <v>43300101</v>
      </c>
      <c r="D1263" t="s">
        <v>67</v>
      </c>
      <c r="H1263" t="str">
        <f>"01270690587"</f>
        <v>01270690587</v>
      </c>
      <c r="I1263" t="str">
        <f>"00980351001"</f>
        <v>00980351001</v>
      </c>
      <c r="K1263" t="str">
        <f>""</f>
        <v/>
      </c>
      <c r="M1263" t="s">
        <v>68</v>
      </c>
      <c r="N1263" t="str">
        <f t="shared" si="162"/>
        <v>FOR</v>
      </c>
      <c r="O1263" t="s">
        <v>69</v>
      </c>
      <c r="P1263" t="s">
        <v>75</v>
      </c>
      <c r="Q1263">
        <v>2016</v>
      </c>
      <c r="R1263" s="4">
        <v>42704</v>
      </c>
      <c r="S1263" s="2">
        <v>42705</v>
      </c>
      <c r="T1263" s="2">
        <v>42705</v>
      </c>
      <c r="U1263" s="4">
        <v>42765</v>
      </c>
      <c r="V1263" t="s">
        <v>71</v>
      </c>
      <c r="W1263" t="str">
        <f>"               43/PA"</f>
        <v xml:space="preserve">               43/PA</v>
      </c>
      <c r="X1263" s="1">
        <v>1586</v>
      </c>
      <c r="Y1263">
        <v>0</v>
      </c>
      <c r="Z1263" s="5">
        <v>1300</v>
      </c>
      <c r="AA1263" s="3">
        <v>32</v>
      </c>
      <c r="AB1263" s="5">
        <v>41600</v>
      </c>
      <c r="AC1263" s="1">
        <v>1300</v>
      </c>
      <c r="AD1263">
        <v>32</v>
      </c>
      <c r="AE1263" s="1">
        <v>41600</v>
      </c>
      <c r="AF1263">
        <v>286</v>
      </c>
      <c r="AJ1263">
        <v>0</v>
      </c>
      <c r="AK1263">
        <v>0</v>
      </c>
      <c r="AL1263">
        <v>0</v>
      </c>
      <c r="AM1263">
        <v>0</v>
      </c>
      <c r="AN1263">
        <v>0</v>
      </c>
      <c r="AO1263">
        <v>0</v>
      </c>
      <c r="AP1263" s="2">
        <v>42831</v>
      </c>
      <c r="AQ1263" t="s">
        <v>72</v>
      </c>
      <c r="AR1263" t="s">
        <v>72</v>
      </c>
      <c r="AS1263">
        <v>704</v>
      </c>
      <c r="AT1263" s="4">
        <v>42797</v>
      </c>
      <c r="AU1263" t="s">
        <v>73</v>
      </c>
      <c r="AV1263">
        <v>704</v>
      </c>
      <c r="AW1263" s="4">
        <v>42797</v>
      </c>
      <c r="AZ1263">
        <v>286</v>
      </c>
      <c r="BD1263">
        <v>0</v>
      </c>
      <c r="BN1263" t="s">
        <v>74</v>
      </c>
    </row>
    <row r="1264" spans="1:66">
      <c r="A1264">
        <v>101732</v>
      </c>
      <c r="B1264" t="s">
        <v>313</v>
      </c>
      <c r="C1264" s="1">
        <v>43300101</v>
      </c>
      <c r="D1264" t="s">
        <v>67</v>
      </c>
      <c r="H1264" t="str">
        <f>"01270690587"</f>
        <v>01270690587</v>
      </c>
      <c r="I1264" t="str">
        <f>"00980351001"</f>
        <v>00980351001</v>
      </c>
      <c r="K1264" t="str">
        <f>""</f>
        <v/>
      </c>
      <c r="M1264" t="s">
        <v>68</v>
      </c>
      <c r="N1264" t="str">
        <f t="shared" si="162"/>
        <v>FOR</v>
      </c>
      <c r="O1264" t="s">
        <v>69</v>
      </c>
      <c r="P1264" t="s">
        <v>75</v>
      </c>
      <c r="Q1264">
        <v>2016</v>
      </c>
      <c r="R1264" s="4">
        <v>42732</v>
      </c>
      <c r="S1264" s="2">
        <v>42760</v>
      </c>
      <c r="T1264" s="2">
        <v>42759</v>
      </c>
      <c r="U1264" s="4">
        <v>42819</v>
      </c>
      <c r="V1264" t="s">
        <v>71</v>
      </c>
      <c r="W1264" t="str">
        <f>"               48/PA"</f>
        <v xml:space="preserve">               48/PA</v>
      </c>
      <c r="X1264" s="1">
        <v>1586</v>
      </c>
      <c r="Y1264">
        <v>0</v>
      </c>
      <c r="Z1264" s="5">
        <v>1300</v>
      </c>
      <c r="AA1264" s="3">
        <v>-22</v>
      </c>
      <c r="AB1264" s="5">
        <v>-28600</v>
      </c>
      <c r="AC1264" s="1">
        <v>1300</v>
      </c>
      <c r="AD1264">
        <v>-22</v>
      </c>
      <c r="AE1264" s="1">
        <v>-28600</v>
      </c>
      <c r="AF1264">
        <v>286</v>
      </c>
      <c r="AJ1264">
        <v>0</v>
      </c>
      <c r="AK1264" s="1">
        <v>1586</v>
      </c>
      <c r="AL1264">
        <v>0</v>
      </c>
      <c r="AM1264">
        <v>0</v>
      </c>
      <c r="AN1264" s="1">
        <v>1586</v>
      </c>
      <c r="AO1264">
        <v>0</v>
      </c>
      <c r="AP1264" s="2">
        <v>42831</v>
      </c>
      <c r="AQ1264" t="s">
        <v>72</v>
      </c>
      <c r="AR1264" t="s">
        <v>72</v>
      </c>
      <c r="AS1264">
        <v>704</v>
      </c>
      <c r="AT1264" s="4">
        <v>42797</v>
      </c>
      <c r="AV1264">
        <v>704</v>
      </c>
      <c r="AW1264" s="4">
        <v>42797</v>
      </c>
      <c r="AX1264">
        <v>286</v>
      </c>
      <c r="BD1264">
        <v>0</v>
      </c>
      <c r="BN1264" t="s">
        <v>74</v>
      </c>
    </row>
    <row r="1265" spans="1:66">
      <c r="A1265">
        <v>101735</v>
      </c>
      <c r="B1265" t="s">
        <v>314</v>
      </c>
      <c r="C1265" s="1">
        <v>43300101</v>
      </c>
      <c r="D1265" t="s">
        <v>67</v>
      </c>
      <c r="H1265" t="str">
        <f>"03581091216"</f>
        <v>03581091216</v>
      </c>
      <c r="I1265" t="str">
        <f>"03581091216"</f>
        <v>03581091216</v>
      </c>
      <c r="K1265" t="str">
        <f>""</f>
        <v/>
      </c>
      <c r="M1265" t="s">
        <v>68</v>
      </c>
      <c r="N1265" t="str">
        <f t="shared" si="162"/>
        <v>FOR</v>
      </c>
      <c r="O1265" t="s">
        <v>69</v>
      </c>
      <c r="P1265" t="s">
        <v>75</v>
      </c>
      <c r="Q1265">
        <v>2016</v>
      </c>
      <c r="R1265" s="4">
        <v>42436</v>
      </c>
      <c r="S1265" s="2">
        <v>42443</v>
      </c>
      <c r="T1265" s="2">
        <v>42440</v>
      </c>
      <c r="U1265" s="4">
        <v>42500</v>
      </c>
      <c r="V1265" t="s">
        <v>71</v>
      </c>
      <c r="W1265" t="str">
        <f>"                   7"</f>
        <v xml:space="preserve">                   7</v>
      </c>
      <c r="X1265" s="1">
        <v>7764.48</v>
      </c>
      <c r="Y1265">
        <v>0</v>
      </c>
      <c r="Z1265" s="5">
        <v>6364.33</v>
      </c>
      <c r="AA1265" s="3">
        <v>268</v>
      </c>
      <c r="AB1265" s="5">
        <v>1705640.44</v>
      </c>
      <c r="AC1265" s="1">
        <v>6364.33</v>
      </c>
      <c r="AD1265">
        <v>268</v>
      </c>
      <c r="AE1265" s="1">
        <v>1705640.44</v>
      </c>
      <c r="AF1265">
        <v>0</v>
      </c>
      <c r="AJ1265">
        <v>0</v>
      </c>
      <c r="AK1265">
        <v>0</v>
      </c>
      <c r="AL1265">
        <v>0</v>
      </c>
      <c r="AM1265">
        <v>0</v>
      </c>
      <c r="AN1265">
        <v>0</v>
      </c>
      <c r="AO1265">
        <v>0</v>
      </c>
      <c r="AP1265" s="2">
        <v>42831</v>
      </c>
      <c r="AQ1265" t="s">
        <v>72</v>
      </c>
      <c r="AR1265" t="s">
        <v>72</v>
      </c>
      <c r="AS1265">
        <v>276</v>
      </c>
      <c r="AT1265" s="4">
        <v>42768</v>
      </c>
      <c r="AU1265" t="s">
        <v>73</v>
      </c>
      <c r="AV1265">
        <v>276</v>
      </c>
      <c r="AW1265" s="4">
        <v>42768</v>
      </c>
      <c r="BD1265">
        <v>0</v>
      </c>
      <c r="BN1265" t="s">
        <v>74</v>
      </c>
    </row>
    <row r="1266" spans="1:66">
      <c r="A1266">
        <v>101735</v>
      </c>
      <c r="B1266" t="s">
        <v>314</v>
      </c>
      <c r="C1266" s="1">
        <v>43300101</v>
      </c>
      <c r="D1266" t="s">
        <v>67</v>
      </c>
      <c r="H1266" t="str">
        <f>"03581091216"</f>
        <v>03581091216</v>
      </c>
      <c r="I1266" t="str">
        <f>"03581091216"</f>
        <v>03581091216</v>
      </c>
      <c r="K1266" t="str">
        <f>""</f>
        <v/>
      </c>
      <c r="M1266" t="s">
        <v>68</v>
      </c>
      <c r="N1266" t="str">
        <f t="shared" si="162"/>
        <v>FOR</v>
      </c>
      <c r="O1266" t="s">
        <v>69</v>
      </c>
      <c r="P1266" t="s">
        <v>75</v>
      </c>
      <c r="Q1266">
        <v>2016</v>
      </c>
      <c r="R1266" s="4">
        <v>42492</v>
      </c>
      <c r="S1266" s="2">
        <v>42496</v>
      </c>
      <c r="T1266" s="2">
        <v>42495</v>
      </c>
      <c r="U1266" s="4">
        <v>42555</v>
      </c>
      <c r="V1266" t="s">
        <v>71</v>
      </c>
      <c r="W1266" t="str">
        <f>"                  13"</f>
        <v xml:space="preserve">                  13</v>
      </c>
      <c r="X1266" s="1">
        <v>7764.48</v>
      </c>
      <c r="Y1266">
        <v>0</v>
      </c>
      <c r="Z1266" s="5">
        <v>6364.33</v>
      </c>
      <c r="AA1266" s="3">
        <v>238</v>
      </c>
      <c r="AB1266" s="5">
        <v>1514710.54</v>
      </c>
      <c r="AC1266" s="1">
        <v>6364.33</v>
      </c>
      <c r="AD1266">
        <v>238</v>
      </c>
      <c r="AE1266" s="1">
        <v>1514710.54</v>
      </c>
      <c r="AF1266">
        <v>0</v>
      </c>
      <c r="AJ1266">
        <v>0</v>
      </c>
      <c r="AK1266">
        <v>0</v>
      </c>
      <c r="AL1266">
        <v>0</v>
      </c>
      <c r="AM1266">
        <v>0</v>
      </c>
      <c r="AN1266">
        <v>0</v>
      </c>
      <c r="AO1266">
        <v>0</v>
      </c>
      <c r="AP1266" s="2">
        <v>42831</v>
      </c>
      <c r="AQ1266" t="s">
        <v>72</v>
      </c>
      <c r="AR1266" t="s">
        <v>72</v>
      </c>
      <c r="AS1266">
        <v>606</v>
      </c>
      <c r="AT1266" s="4">
        <v>42793</v>
      </c>
      <c r="AU1266" t="s">
        <v>73</v>
      </c>
      <c r="AV1266">
        <v>606</v>
      </c>
      <c r="AW1266" s="4">
        <v>42793</v>
      </c>
      <c r="BD1266">
        <v>0</v>
      </c>
      <c r="BN1266" t="s">
        <v>74</v>
      </c>
    </row>
    <row r="1267" spans="1:66">
      <c r="A1267">
        <v>101736</v>
      </c>
      <c r="B1267" t="s">
        <v>315</v>
      </c>
      <c r="C1267" s="1">
        <v>43300101</v>
      </c>
      <c r="D1267" t="s">
        <v>67</v>
      </c>
      <c r="H1267" t="str">
        <f>"02466440167"</f>
        <v>02466440167</v>
      </c>
      <c r="I1267" t="str">
        <f>"11861240155"</f>
        <v>11861240155</v>
      </c>
      <c r="K1267" t="str">
        <f>""</f>
        <v/>
      </c>
      <c r="M1267" t="s">
        <v>68</v>
      </c>
      <c r="N1267" t="str">
        <f t="shared" si="162"/>
        <v>FOR</v>
      </c>
      <c r="O1267" t="s">
        <v>69</v>
      </c>
      <c r="P1267" t="s">
        <v>75</v>
      </c>
      <c r="Q1267">
        <v>2016</v>
      </c>
      <c r="R1267" s="4">
        <v>42521</v>
      </c>
      <c r="S1267" s="2">
        <v>42541</v>
      </c>
      <c r="T1267" s="2">
        <v>42537</v>
      </c>
      <c r="U1267" s="4">
        <v>42597</v>
      </c>
      <c r="V1267" t="s">
        <v>71</v>
      </c>
      <c r="W1267" t="str">
        <f>"          VF16013949"</f>
        <v xml:space="preserve">          VF16013949</v>
      </c>
      <c r="X1267" s="1">
        <v>13847</v>
      </c>
      <c r="Y1267">
        <v>0</v>
      </c>
      <c r="Z1267" s="5">
        <v>11350</v>
      </c>
      <c r="AA1267" s="3">
        <v>200</v>
      </c>
      <c r="AB1267" s="5">
        <v>2270000</v>
      </c>
      <c r="AC1267" s="1">
        <v>11350</v>
      </c>
      <c r="AD1267">
        <v>200</v>
      </c>
      <c r="AE1267" s="1">
        <v>2270000</v>
      </c>
      <c r="AF1267" s="1">
        <v>2497</v>
      </c>
      <c r="AJ1267">
        <v>0</v>
      </c>
      <c r="AK1267">
        <v>0</v>
      </c>
      <c r="AL1267">
        <v>0</v>
      </c>
      <c r="AM1267">
        <v>0</v>
      </c>
      <c r="AN1267">
        <v>0</v>
      </c>
      <c r="AO1267">
        <v>0</v>
      </c>
      <c r="AP1267" s="2">
        <v>42831</v>
      </c>
      <c r="AQ1267" t="s">
        <v>72</v>
      </c>
      <c r="AR1267" t="s">
        <v>72</v>
      </c>
      <c r="AS1267">
        <v>719</v>
      </c>
      <c r="AT1267" s="4">
        <v>42797</v>
      </c>
      <c r="AU1267" t="s">
        <v>73</v>
      </c>
      <c r="AV1267">
        <v>719</v>
      </c>
      <c r="AW1267" s="4">
        <v>42797</v>
      </c>
      <c r="BD1267" s="1">
        <v>2497</v>
      </c>
      <c r="BN1267" t="s">
        <v>74</v>
      </c>
    </row>
    <row r="1268" spans="1:66">
      <c r="A1268">
        <v>101736</v>
      </c>
      <c r="B1268" t="s">
        <v>315</v>
      </c>
      <c r="C1268" s="1">
        <v>43300101</v>
      </c>
      <c r="D1268" t="s">
        <v>67</v>
      </c>
      <c r="H1268" t="str">
        <f>"02466440167"</f>
        <v>02466440167</v>
      </c>
      <c r="I1268" t="str">
        <f>"11861240155"</f>
        <v>11861240155</v>
      </c>
      <c r="K1268" t="str">
        <f>""</f>
        <v/>
      </c>
      <c r="M1268" t="s">
        <v>68</v>
      </c>
      <c r="N1268" t="str">
        <f t="shared" si="162"/>
        <v>FOR</v>
      </c>
      <c r="O1268" t="s">
        <v>69</v>
      </c>
      <c r="P1268" t="s">
        <v>75</v>
      </c>
      <c r="Q1268">
        <v>2016</v>
      </c>
      <c r="R1268" s="4">
        <v>42717</v>
      </c>
      <c r="S1268" s="2">
        <v>42720</v>
      </c>
      <c r="T1268" s="2">
        <v>42718</v>
      </c>
      <c r="U1268" s="4">
        <v>42778</v>
      </c>
      <c r="V1268" t="s">
        <v>71</v>
      </c>
      <c r="W1268" t="str">
        <f>"          VF16032621"</f>
        <v xml:space="preserve">          VF16032621</v>
      </c>
      <c r="X1268" s="1">
        <v>6096.34</v>
      </c>
      <c r="Y1268">
        <v>0</v>
      </c>
      <c r="Z1268" s="5">
        <v>4997</v>
      </c>
      <c r="AA1268" s="3">
        <v>-10</v>
      </c>
      <c r="AB1268" s="5">
        <v>-49970</v>
      </c>
      <c r="AC1268" s="1">
        <v>4997</v>
      </c>
      <c r="AD1268">
        <v>-10</v>
      </c>
      <c r="AE1268" s="1">
        <v>-49970</v>
      </c>
      <c r="AF1268">
        <v>0</v>
      </c>
      <c r="AJ1268">
        <v>0</v>
      </c>
      <c r="AK1268">
        <v>0</v>
      </c>
      <c r="AL1268">
        <v>0</v>
      </c>
      <c r="AM1268">
        <v>0</v>
      </c>
      <c r="AN1268">
        <v>0</v>
      </c>
      <c r="AO1268">
        <v>0</v>
      </c>
      <c r="AP1268" s="2">
        <v>42831</v>
      </c>
      <c r="AQ1268" t="s">
        <v>72</v>
      </c>
      <c r="AR1268" t="s">
        <v>72</v>
      </c>
      <c r="AS1268">
        <v>211</v>
      </c>
      <c r="AT1268" s="4">
        <v>42768</v>
      </c>
      <c r="AV1268">
        <v>211</v>
      </c>
      <c r="AW1268" s="4">
        <v>42768</v>
      </c>
      <c r="BD1268">
        <v>0</v>
      </c>
      <c r="BN1268" t="s">
        <v>74</v>
      </c>
    </row>
    <row r="1269" spans="1:66">
      <c r="A1269">
        <v>101737</v>
      </c>
      <c r="B1269" t="s">
        <v>316</v>
      </c>
      <c r="C1269" s="1">
        <v>43300101</v>
      </c>
      <c r="D1269" t="s">
        <v>67</v>
      </c>
      <c r="H1269" t="str">
        <f>"04485620159"</f>
        <v>04485620159</v>
      </c>
      <c r="I1269" t="str">
        <f>"04485620159"</f>
        <v>04485620159</v>
      </c>
      <c r="K1269" t="str">
        <f>""</f>
        <v/>
      </c>
      <c r="M1269" t="s">
        <v>68</v>
      </c>
      <c r="N1269" t="str">
        <f t="shared" si="162"/>
        <v>FOR</v>
      </c>
      <c r="O1269" t="s">
        <v>69</v>
      </c>
      <c r="P1269" t="s">
        <v>75</v>
      </c>
      <c r="Q1269">
        <v>2016</v>
      </c>
      <c r="R1269" s="4">
        <v>42475</v>
      </c>
      <c r="S1269" s="2">
        <v>42486</v>
      </c>
      <c r="T1269" s="2">
        <v>42486</v>
      </c>
      <c r="U1269" s="4">
        <v>42546</v>
      </c>
      <c r="V1269" t="s">
        <v>71</v>
      </c>
      <c r="W1269" t="str">
        <f>"          8034075622"</f>
        <v xml:space="preserve">          8034075622</v>
      </c>
      <c r="X1269">
        <v>710.05</v>
      </c>
      <c r="Y1269">
        <v>0</v>
      </c>
      <c r="Z1269" s="5">
        <v>645.5</v>
      </c>
      <c r="AA1269" s="3">
        <v>234</v>
      </c>
      <c r="AB1269" s="5">
        <v>151047</v>
      </c>
      <c r="AC1269">
        <v>645.5</v>
      </c>
      <c r="AD1269">
        <v>234</v>
      </c>
      <c r="AE1269" s="1">
        <v>151047</v>
      </c>
      <c r="AF1269">
        <v>0</v>
      </c>
      <c r="AJ1269">
        <v>0</v>
      </c>
      <c r="AK1269">
        <v>0</v>
      </c>
      <c r="AL1269">
        <v>0</v>
      </c>
      <c r="AM1269">
        <v>0</v>
      </c>
      <c r="AN1269">
        <v>0</v>
      </c>
      <c r="AO1269">
        <v>0</v>
      </c>
      <c r="AP1269" s="2">
        <v>42831</v>
      </c>
      <c r="AQ1269" t="s">
        <v>72</v>
      </c>
      <c r="AR1269" t="s">
        <v>72</v>
      </c>
      <c r="AS1269">
        <v>437</v>
      </c>
      <c r="AT1269" s="4">
        <v>42780</v>
      </c>
      <c r="AU1269" t="s">
        <v>73</v>
      </c>
      <c r="AV1269">
        <v>437</v>
      </c>
      <c r="AW1269" s="4">
        <v>42780</v>
      </c>
      <c r="BD1269">
        <v>0</v>
      </c>
      <c r="BN1269" t="s">
        <v>74</v>
      </c>
    </row>
    <row r="1270" spans="1:66">
      <c r="A1270">
        <v>101737</v>
      </c>
      <c r="B1270" t="s">
        <v>316</v>
      </c>
      <c r="C1270" s="1">
        <v>43300101</v>
      </c>
      <c r="D1270" t="s">
        <v>67</v>
      </c>
      <c r="H1270" t="str">
        <f>"04485620159"</f>
        <v>04485620159</v>
      </c>
      <c r="I1270" t="str">
        <f>"04485620159"</f>
        <v>04485620159</v>
      </c>
      <c r="K1270" t="str">
        <f>""</f>
        <v/>
      </c>
      <c r="M1270" t="s">
        <v>68</v>
      </c>
      <c r="N1270" t="str">
        <f t="shared" si="162"/>
        <v>FOR</v>
      </c>
      <c r="O1270" t="s">
        <v>69</v>
      </c>
      <c r="P1270" t="s">
        <v>75</v>
      </c>
      <c r="Q1270">
        <v>2016</v>
      </c>
      <c r="R1270" s="4">
        <v>42585</v>
      </c>
      <c r="S1270" s="2">
        <v>42591</v>
      </c>
      <c r="T1270" s="2">
        <v>42591</v>
      </c>
      <c r="U1270" s="4">
        <v>42651</v>
      </c>
      <c r="V1270" t="s">
        <v>71</v>
      </c>
      <c r="W1270" t="str">
        <f>"          8034081518"</f>
        <v xml:space="preserve">          8034081518</v>
      </c>
      <c r="X1270">
        <v>710.05</v>
      </c>
      <c r="Y1270">
        <v>0</v>
      </c>
      <c r="Z1270" s="5">
        <v>645.5</v>
      </c>
      <c r="AA1270" s="3">
        <v>129</v>
      </c>
      <c r="AB1270" s="5">
        <v>83269.5</v>
      </c>
      <c r="AC1270">
        <v>645.5</v>
      </c>
      <c r="AD1270">
        <v>129</v>
      </c>
      <c r="AE1270" s="1">
        <v>83269.5</v>
      </c>
      <c r="AF1270">
        <v>0</v>
      </c>
      <c r="AJ1270">
        <v>0</v>
      </c>
      <c r="AK1270">
        <v>0</v>
      </c>
      <c r="AL1270">
        <v>0</v>
      </c>
      <c r="AM1270">
        <v>0</v>
      </c>
      <c r="AN1270">
        <v>0</v>
      </c>
      <c r="AO1270">
        <v>0</v>
      </c>
      <c r="AP1270" s="2">
        <v>42831</v>
      </c>
      <c r="AQ1270" t="s">
        <v>72</v>
      </c>
      <c r="AR1270" t="s">
        <v>72</v>
      </c>
      <c r="AS1270">
        <v>437</v>
      </c>
      <c r="AT1270" s="4">
        <v>42780</v>
      </c>
      <c r="AU1270" t="s">
        <v>73</v>
      </c>
      <c r="AV1270">
        <v>437</v>
      </c>
      <c r="AW1270" s="4">
        <v>42780</v>
      </c>
      <c r="BD1270">
        <v>0</v>
      </c>
      <c r="BN1270" t="s">
        <v>74</v>
      </c>
    </row>
    <row r="1271" spans="1:66">
      <c r="A1271">
        <v>101741</v>
      </c>
      <c r="B1271" t="s">
        <v>317</v>
      </c>
      <c r="C1271" s="1">
        <v>43300101</v>
      </c>
      <c r="D1271" t="s">
        <v>67</v>
      </c>
      <c r="H1271" t="str">
        <f t="shared" ref="H1271:I1273" si="163">"01487150623"</f>
        <v>01487150623</v>
      </c>
      <c r="I1271" t="str">
        <f t="shared" si="163"/>
        <v>01487150623</v>
      </c>
      <c r="K1271" t="str">
        <f>""</f>
        <v/>
      </c>
      <c r="M1271" t="s">
        <v>68</v>
      </c>
      <c r="N1271" t="str">
        <f t="shared" si="162"/>
        <v>FOR</v>
      </c>
      <c r="O1271" t="s">
        <v>69</v>
      </c>
      <c r="P1271" t="s">
        <v>75</v>
      </c>
      <c r="Q1271">
        <v>2016</v>
      </c>
      <c r="R1271" s="4">
        <v>42465</v>
      </c>
      <c r="S1271" s="2">
        <v>42465</v>
      </c>
      <c r="T1271" s="2">
        <v>42465</v>
      </c>
      <c r="U1271" s="4">
        <v>42525</v>
      </c>
      <c r="V1271" t="s">
        <v>71</v>
      </c>
      <c r="W1271" t="str">
        <f>"              082016"</f>
        <v xml:space="preserve">              082016</v>
      </c>
      <c r="X1271" s="1">
        <v>67710</v>
      </c>
      <c r="Y1271">
        <v>0</v>
      </c>
      <c r="Z1271" s="5">
        <v>55500</v>
      </c>
      <c r="AA1271" s="3">
        <v>249</v>
      </c>
      <c r="AB1271" s="5">
        <v>13819500</v>
      </c>
      <c r="AC1271" s="1">
        <v>55500</v>
      </c>
      <c r="AD1271">
        <v>249</v>
      </c>
      <c r="AE1271" s="1">
        <v>13819500</v>
      </c>
      <c r="AF1271">
        <v>0</v>
      </c>
      <c r="AJ1271">
        <v>0</v>
      </c>
      <c r="AK1271">
        <v>0</v>
      </c>
      <c r="AL1271">
        <v>0</v>
      </c>
      <c r="AM1271">
        <v>0</v>
      </c>
      <c r="AN1271">
        <v>0</v>
      </c>
      <c r="AO1271">
        <v>0</v>
      </c>
      <c r="AP1271" s="2">
        <v>42831</v>
      </c>
      <c r="AQ1271" t="s">
        <v>72</v>
      </c>
      <c r="AR1271" t="s">
        <v>72</v>
      </c>
      <c r="AS1271">
        <v>360</v>
      </c>
      <c r="AT1271" s="4">
        <v>42774</v>
      </c>
      <c r="AU1271" t="s">
        <v>73</v>
      </c>
      <c r="AV1271">
        <v>360</v>
      </c>
      <c r="AW1271" s="4">
        <v>42774</v>
      </c>
      <c r="BD1271">
        <v>0</v>
      </c>
      <c r="BN1271" t="s">
        <v>74</v>
      </c>
    </row>
    <row r="1272" spans="1:66">
      <c r="A1272">
        <v>101741</v>
      </c>
      <c r="B1272" t="s">
        <v>317</v>
      </c>
      <c r="C1272" s="1">
        <v>43300101</v>
      </c>
      <c r="D1272" t="s">
        <v>67</v>
      </c>
      <c r="H1272" t="str">
        <f t="shared" si="163"/>
        <v>01487150623</v>
      </c>
      <c r="I1272" t="str">
        <f t="shared" si="163"/>
        <v>01487150623</v>
      </c>
      <c r="K1272" t="str">
        <f>""</f>
        <v/>
      </c>
      <c r="M1272" t="s">
        <v>68</v>
      </c>
      <c r="N1272" t="str">
        <f t="shared" si="162"/>
        <v>FOR</v>
      </c>
      <c r="O1272" t="s">
        <v>69</v>
      </c>
      <c r="P1272" t="s">
        <v>75</v>
      </c>
      <c r="Q1272">
        <v>2016</v>
      </c>
      <c r="R1272" s="4">
        <v>42490</v>
      </c>
      <c r="S1272" s="2">
        <v>42492</v>
      </c>
      <c r="T1272" s="2">
        <v>42490</v>
      </c>
      <c r="U1272" s="4">
        <v>42550</v>
      </c>
      <c r="V1272" t="s">
        <v>71</v>
      </c>
      <c r="W1272" t="str">
        <f>"              092016"</f>
        <v xml:space="preserve">              092016</v>
      </c>
      <c r="X1272" s="1">
        <v>50850.06</v>
      </c>
      <c r="Y1272">
        <v>0</v>
      </c>
      <c r="Z1272" s="5">
        <v>41680.379999999997</v>
      </c>
      <c r="AA1272" s="3">
        <v>224</v>
      </c>
      <c r="AB1272" s="5">
        <v>9336405.1199999992</v>
      </c>
      <c r="AC1272" s="1">
        <v>41680.379999999997</v>
      </c>
      <c r="AD1272">
        <v>224</v>
      </c>
      <c r="AE1272" s="1">
        <v>9336405.1199999992</v>
      </c>
      <c r="AF1272">
        <v>0</v>
      </c>
      <c r="AJ1272">
        <v>0</v>
      </c>
      <c r="AK1272">
        <v>0</v>
      </c>
      <c r="AL1272">
        <v>0</v>
      </c>
      <c r="AM1272">
        <v>0</v>
      </c>
      <c r="AN1272">
        <v>0</v>
      </c>
      <c r="AO1272">
        <v>0</v>
      </c>
      <c r="AP1272" s="2">
        <v>42831</v>
      </c>
      <c r="AQ1272" t="s">
        <v>72</v>
      </c>
      <c r="AR1272" t="s">
        <v>72</v>
      </c>
      <c r="AS1272">
        <v>360</v>
      </c>
      <c r="AT1272" s="4">
        <v>42774</v>
      </c>
      <c r="AU1272" t="s">
        <v>73</v>
      </c>
      <c r="AV1272">
        <v>360</v>
      </c>
      <c r="AW1272" s="4">
        <v>42774</v>
      </c>
      <c r="BD1272">
        <v>0</v>
      </c>
      <c r="BN1272" t="s">
        <v>74</v>
      </c>
    </row>
    <row r="1273" spans="1:66">
      <c r="A1273">
        <v>101741</v>
      </c>
      <c r="B1273" t="s">
        <v>317</v>
      </c>
      <c r="C1273" s="1">
        <v>43300101</v>
      </c>
      <c r="D1273" t="s">
        <v>67</v>
      </c>
      <c r="H1273" t="str">
        <f t="shared" si="163"/>
        <v>01487150623</v>
      </c>
      <c r="I1273" t="str">
        <f t="shared" si="163"/>
        <v>01487150623</v>
      </c>
      <c r="K1273" t="str">
        <f>""</f>
        <v/>
      </c>
      <c r="M1273" t="s">
        <v>68</v>
      </c>
      <c r="N1273" t="str">
        <f t="shared" si="162"/>
        <v>FOR</v>
      </c>
      <c r="O1273" t="s">
        <v>69</v>
      </c>
      <c r="P1273" t="s">
        <v>75</v>
      </c>
      <c r="Q1273">
        <v>2016</v>
      </c>
      <c r="R1273" s="4">
        <v>42520</v>
      </c>
      <c r="S1273" s="2">
        <v>42521</v>
      </c>
      <c r="T1273" s="2">
        <v>42520</v>
      </c>
      <c r="U1273" s="4">
        <v>42580</v>
      </c>
      <c r="V1273" t="s">
        <v>71</v>
      </c>
      <c r="W1273" t="str">
        <f>"              112016"</f>
        <v xml:space="preserve">              112016</v>
      </c>
      <c r="X1273" s="1">
        <v>89548</v>
      </c>
      <c r="Y1273">
        <v>0</v>
      </c>
      <c r="Z1273" s="5">
        <v>73400</v>
      </c>
      <c r="AA1273" s="3">
        <v>216</v>
      </c>
      <c r="AB1273" s="5">
        <v>15854400</v>
      </c>
      <c r="AC1273" s="1">
        <v>73400</v>
      </c>
      <c r="AD1273">
        <v>216</v>
      </c>
      <c r="AE1273" s="1">
        <v>15854400</v>
      </c>
      <c r="AF1273" s="1">
        <v>16148</v>
      </c>
      <c r="AJ1273">
        <v>0</v>
      </c>
      <c r="AK1273">
        <v>0</v>
      </c>
      <c r="AL1273">
        <v>0</v>
      </c>
      <c r="AM1273">
        <v>0</v>
      </c>
      <c r="AN1273">
        <v>0</v>
      </c>
      <c r="AO1273">
        <v>0</v>
      </c>
      <c r="AP1273" s="2">
        <v>42831</v>
      </c>
      <c r="AQ1273" t="s">
        <v>72</v>
      </c>
      <c r="AR1273" t="s">
        <v>72</v>
      </c>
      <c r="AS1273">
        <v>691</v>
      </c>
      <c r="AT1273" s="4">
        <v>42796</v>
      </c>
      <c r="AU1273" t="s">
        <v>73</v>
      </c>
      <c r="AV1273">
        <v>691</v>
      </c>
      <c r="AW1273" s="4">
        <v>42796</v>
      </c>
      <c r="BD1273" s="1">
        <v>16148</v>
      </c>
      <c r="BN1273" t="s">
        <v>74</v>
      </c>
    </row>
    <row r="1274" spans="1:66">
      <c r="A1274">
        <v>101747</v>
      </c>
      <c r="B1274" t="s">
        <v>318</v>
      </c>
      <c r="C1274" s="1">
        <v>43300101</v>
      </c>
      <c r="D1274" t="s">
        <v>67</v>
      </c>
      <c r="H1274" t="str">
        <f>"ZTTRSM69D02L254H"</f>
        <v>ZTTRSM69D02L254H</v>
      </c>
      <c r="I1274" t="str">
        <f>"01018080620"</f>
        <v>01018080620</v>
      </c>
      <c r="K1274" t="str">
        <f>""</f>
        <v/>
      </c>
      <c r="M1274" t="s">
        <v>68</v>
      </c>
      <c r="N1274" t="str">
        <f t="shared" si="162"/>
        <v>FOR</v>
      </c>
      <c r="O1274" t="s">
        <v>69</v>
      </c>
      <c r="P1274" t="s">
        <v>75</v>
      </c>
      <c r="Q1274">
        <v>2016</v>
      </c>
      <c r="R1274" s="4">
        <v>42674</v>
      </c>
      <c r="S1274" s="2">
        <v>42685</v>
      </c>
      <c r="T1274" s="2">
        <v>42684</v>
      </c>
      <c r="U1274" s="4">
        <v>42744</v>
      </c>
      <c r="V1274" t="s">
        <v>71</v>
      </c>
      <c r="W1274" t="str">
        <f>"            285/2016"</f>
        <v xml:space="preserve">            285/2016</v>
      </c>
      <c r="X1274">
        <v>19.420000000000002</v>
      </c>
      <c r="Y1274">
        <v>0</v>
      </c>
      <c r="Z1274" s="5">
        <v>15.92</v>
      </c>
      <c r="AA1274" s="3">
        <v>28</v>
      </c>
      <c r="AB1274" s="3">
        <v>445.76</v>
      </c>
      <c r="AC1274">
        <v>15.92</v>
      </c>
      <c r="AD1274">
        <v>28</v>
      </c>
      <c r="AE1274">
        <v>445.76</v>
      </c>
      <c r="AF1274">
        <v>3.5</v>
      </c>
      <c r="AJ1274">
        <v>0</v>
      </c>
      <c r="AK1274">
        <v>0</v>
      </c>
      <c r="AL1274">
        <v>0</v>
      </c>
      <c r="AM1274">
        <v>0</v>
      </c>
      <c r="AN1274">
        <v>0</v>
      </c>
      <c r="AO1274">
        <v>0</v>
      </c>
      <c r="AP1274" s="2">
        <v>42831</v>
      </c>
      <c r="AQ1274" t="s">
        <v>72</v>
      </c>
      <c r="AR1274" t="s">
        <v>72</v>
      </c>
      <c r="AS1274">
        <v>292</v>
      </c>
      <c r="AT1274" s="4">
        <v>42772</v>
      </c>
      <c r="AU1274" t="s">
        <v>73</v>
      </c>
      <c r="AV1274">
        <v>292</v>
      </c>
      <c r="AW1274" s="4">
        <v>42772</v>
      </c>
      <c r="AZ1274">
        <v>3.5</v>
      </c>
      <c r="BD1274">
        <v>0</v>
      </c>
      <c r="BN1274" t="s">
        <v>74</v>
      </c>
    </row>
    <row r="1275" spans="1:66">
      <c r="A1275">
        <v>101754</v>
      </c>
      <c r="B1275" t="s">
        <v>319</v>
      </c>
      <c r="C1275" s="1">
        <v>43300101</v>
      </c>
      <c r="D1275" t="s">
        <v>67</v>
      </c>
      <c r="H1275" t="str">
        <f t="shared" ref="H1275:I1290" si="164">"07328871210"</f>
        <v>07328871210</v>
      </c>
      <c r="I1275" t="str">
        <f t="shared" si="164"/>
        <v>07328871210</v>
      </c>
      <c r="K1275" t="str">
        <f>""</f>
        <v/>
      </c>
      <c r="M1275" t="s">
        <v>68</v>
      </c>
      <c r="N1275" t="str">
        <f t="shared" si="162"/>
        <v>FOR</v>
      </c>
      <c r="O1275" t="s">
        <v>69</v>
      </c>
      <c r="P1275" t="s">
        <v>75</v>
      </c>
      <c r="Q1275">
        <v>2016</v>
      </c>
      <c r="R1275" s="4">
        <v>42475</v>
      </c>
      <c r="S1275" s="2">
        <v>42488</v>
      </c>
      <c r="T1275" s="2">
        <v>42486</v>
      </c>
      <c r="U1275" s="4">
        <v>42546</v>
      </c>
      <c r="V1275" t="s">
        <v>71</v>
      </c>
      <c r="W1275" t="str">
        <f>"             274/FEP"</f>
        <v xml:space="preserve">             274/FEP</v>
      </c>
      <c r="X1275">
        <v>604.14</v>
      </c>
      <c r="Y1275">
        <v>0</v>
      </c>
      <c r="Z1275" s="5">
        <v>495.2</v>
      </c>
      <c r="AA1275" s="3">
        <v>233</v>
      </c>
      <c r="AB1275" s="5">
        <v>115381.6</v>
      </c>
      <c r="AC1275">
        <v>495.2</v>
      </c>
      <c r="AD1275">
        <v>233</v>
      </c>
      <c r="AE1275" s="1">
        <v>115381.6</v>
      </c>
      <c r="AF1275">
        <v>0</v>
      </c>
      <c r="AJ1275">
        <v>0</v>
      </c>
      <c r="AK1275">
        <v>0</v>
      </c>
      <c r="AL1275">
        <v>0</v>
      </c>
      <c r="AM1275">
        <v>0</v>
      </c>
      <c r="AN1275">
        <v>0</v>
      </c>
      <c r="AO1275">
        <v>0</v>
      </c>
      <c r="AP1275" s="2">
        <v>42831</v>
      </c>
      <c r="AQ1275" t="s">
        <v>72</v>
      </c>
      <c r="AR1275" t="s">
        <v>72</v>
      </c>
      <c r="AS1275">
        <v>409</v>
      </c>
      <c r="AT1275" s="4">
        <v>42779</v>
      </c>
      <c r="AU1275" t="s">
        <v>73</v>
      </c>
      <c r="AV1275">
        <v>409</v>
      </c>
      <c r="AW1275" s="4">
        <v>42779</v>
      </c>
      <c r="BD1275">
        <v>0</v>
      </c>
      <c r="BN1275" t="s">
        <v>74</v>
      </c>
    </row>
    <row r="1276" spans="1:66">
      <c r="A1276">
        <v>101754</v>
      </c>
      <c r="B1276" t="s">
        <v>319</v>
      </c>
      <c r="C1276" s="1">
        <v>43300101</v>
      </c>
      <c r="D1276" t="s">
        <v>67</v>
      </c>
      <c r="H1276" t="str">
        <f t="shared" si="164"/>
        <v>07328871210</v>
      </c>
      <c r="I1276" t="str">
        <f t="shared" si="164"/>
        <v>07328871210</v>
      </c>
      <c r="K1276" t="str">
        <f>""</f>
        <v/>
      </c>
      <c r="M1276" t="s">
        <v>68</v>
      </c>
      <c r="N1276" t="str">
        <f t="shared" si="162"/>
        <v>FOR</v>
      </c>
      <c r="O1276" t="s">
        <v>69</v>
      </c>
      <c r="P1276" t="s">
        <v>75</v>
      </c>
      <c r="Q1276">
        <v>2016</v>
      </c>
      <c r="R1276" s="4">
        <v>42475</v>
      </c>
      <c r="S1276" s="2">
        <v>42488</v>
      </c>
      <c r="T1276" s="2">
        <v>42486</v>
      </c>
      <c r="U1276" s="4">
        <v>42546</v>
      </c>
      <c r="V1276" t="s">
        <v>71</v>
      </c>
      <c r="W1276" t="str">
        <f>"             275/FEP"</f>
        <v xml:space="preserve">             275/FEP</v>
      </c>
      <c r="X1276">
        <v>829.6</v>
      </c>
      <c r="Y1276">
        <v>0</v>
      </c>
      <c r="Z1276" s="5">
        <v>680</v>
      </c>
      <c r="AA1276" s="3">
        <v>233</v>
      </c>
      <c r="AB1276" s="5">
        <v>158440</v>
      </c>
      <c r="AC1276">
        <v>680</v>
      </c>
      <c r="AD1276">
        <v>233</v>
      </c>
      <c r="AE1276" s="1">
        <v>158440</v>
      </c>
      <c r="AF1276">
        <v>0</v>
      </c>
      <c r="AJ1276">
        <v>0</v>
      </c>
      <c r="AK1276">
        <v>0</v>
      </c>
      <c r="AL1276">
        <v>0</v>
      </c>
      <c r="AM1276">
        <v>0</v>
      </c>
      <c r="AN1276">
        <v>0</v>
      </c>
      <c r="AO1276">
        <v>0</v>
      </c>
      <c r="AP1276" s="2">
        <v>42831</v>
      </c>
      <c r="AQ1276" t="s">
        <v>72</v>
      </c>
      <c r="AR1276" t="s">
        <v>72</v>
      </c>
      <c r="AS1276">
        <v>409</v>
      </c>
      <c r="AT1276" s="4">
        <v>42779</v>
      </c>
      <c r="AU1276" t="s">
        <v>73</v>
      </c>
      <c r="AV1276">
        <v>409</v>
      </c>
      <c r="AW1276" s="4">
        <v>42779</v>
      </c>
      <c r="BD1276">
        <v>0</v>
      </c>
      <c r="BN1276" t="s">
        <v>74</v>
      </c>
    </row>
    <row r="1277" spans="1:66">
      <c r="A1277">
        <v>101754</v>
      </c>
      <c r="B1277" t="s">
        <v>319</v>
      </c>
      <c r="C1277" s="1">
        <v>43300101</v>
      </c>
      <c r="D1277" t="s">
        <v>67</v>
      </c>
      <c r="H1277" t="str">
        <f t="shared" si="164"/>
        <v>07328871210</v>
      </c>
      <c r="I1277" t="str">
        <f t="shared" si="164"/>
        <v>07328871210</v>
      </c>
      <c r="K1277" t="str">
        <f>""</f>
        <v/>
      </c>
      <c r="M1277" t="s">
        <v>68</v>
      </c>
      <c r="N1277" t="str">
        <f t="shared" si="162"/>
        <v>FOR</v>
      </c>
      <c r="O1277" t="s">
        <v>69</v>
      </c>
      <c r="P1277" t="s">
        <v>75</v>
      </c>
      <c r="Q1277">
        <v>2016</v>
      </c>
      <c r="R1277" s="4">
        <v>42489</v>
      </c>
      <c r="S1277" s="2">
        <v>42506</v>
      </c>
      <c r="T1277" s="2">
        <v>42502</v>
      </c>
      <c r="U1277" s="4">
        <v>42562</v>
      </c>
      <c r="V1277" t="s">
        <v>71</v>
      </c>
      <c r="W1277" t="str">
        <f>"             338/FEP"</f>
        <v xml:space="preserve">             338/FEP</v>
      </c>
      <c r="X1277" s="1">
        <v>1390.8</v>
      </c>
      <c r="Y1277">
        <v>0</v>
      </c>
      <c r="Z1277" s="5">
        <v>1140</v>
      </c>
      <c r="AA1277" s="3">
        <v>217</v>
      </c>
      <c r="AB1277" s="5">
        <v>247380</v>
      </c>
      <c r="AC1277" s="1">
        <v>1140</v>
      </c>
      <c r="AD1277">
        <v>217</v>
      </c>
      <c r="AE1277" s="1">
        <v>247380</v>
      </c>
      <c r="AF1277">
        <v>0</v>
      </c>
      <c r="AJ1277">
        <v>0</v>
      </c>
      <c r="AK1277">
        <v>0</v>
      </c>
      <c r="AL1277">
        <v>0</v>
      </c>
      <c r="AM1277">
        <v>0</v>
      </c>
      <c r="AN1277">
        <v>0</v>
      </c>
      <c r="AO1277">
        <v>0</v>
      </c>
      <c r="AP1277" s="2">
        <v>42831</v>
      </c>
      <c r="AQ1277" t="s">
        <v>72</v>
      </c>
      <c r="AR1277" t="s">
        <v>72</v>
      </c>
      <c r="AS1277">
        <v>409</v>
      </c>
      <c r="AT1277" s="4">
        <v>42779</v>
      </c>
      <c r="AU1277" t="s">
        <v>73</v>
      </c>
      <c r="AV1277">
        <v>409</v>
      </c>
      <c r="AW1277" s="4">
        <v>42779</v>
      </c>
      <c r="BD1277">
        <v>0</v>
      </c>
      <c r="BN1277" t="s">
        <v>74</v>
      </c>
    </row>
    <row r="1278" spans="1:66">
      <c r="A1278">
        <v>101754</v>
      </c>
      <c r="B1278" t="s">
        <v>319</v>
      </c>
      <c r="C1278" s="1">
        <v>43300101</v>
      </c>
      <c r="D1278" t="s">
        <v>67</v>
      </c>
      <c r="H1278" t="str">
        <f t="shared" si="164"/>
        <v>07328871210</v>
      </c>
      <c r="I1278" t="str">
        <f t="shared" si="164"/>
        <v>07328871210</v>
      </c>
      <c r="K1278" t="str">
        <f>""</f>
        <v/>
      </c>
      <c r="M1278" t="s">
        <v>68</v>
      </c>
      <c r="N1278" t="str">
        <f t="shared" si="162"/>
        <v>FOR</v>
      </c>
      <c r="O1278" t="s">
        <v>69</v>
      </c>
      <c r="P1278" t="s">
        <v>75</v>
      </c>
      <c r="Q1278">
        <v>2016</v>
      </c>
      <c r="R1278" s="4">
        <v>42489</v>
      </c>
      <c r="S1278" s="2">
        <v>42506</v>
      </c>
      <c r="T1278" s="2">
        <v>42502</v>
      </c>
      <c r="U1278" s="4">
        <v>42562</v>
      </c>
      <c r="V1278" t="s">
        <v>71</v>
      </c>
      <c r="W1278" t="str">
        <f>"             339/FEP"</f>
        <v xml:space="preserve">             339/FEP</v>
      </c>
      <c r="X1278">
        <v>508.74</v>
      </c>
      <c r="Y1278">
        <v>0</v>
      </c>
      <c r="Z1278" s="5">
        <v>417</v>
      </c>
      <c r="AA1278" s="3">
        <v>217</v>
      </c>
      <c r="AB1278" s="5">
        <v>90489</v>
      </c>
      <c r="AC1278">
        <v>417</v>
      </c>
      <c r="AD1278">
        <v>217</v>
      </c>
      <c r="AE1278" s="1">
        <v>90489</v>
      </c>
      <c r="AF1278">
        <v>0</v>
      </c>
      <c r="AJ1278">
        <v>0</v>
      </c>
      <c r="AK1278">
        <v>0</v>
      </c>
      <c r="AL1278">
        <v>0</v>
      </c>
      <c r="AM1278">
        <v>0</v>
      </c>
      <c r="AN1278">
        <v>0</v>
      </c>
      <c r="AO1278">
        <v>0</v>
      </c>
      <c r="AP1278" s="2">
        <v>42831</v>
      </c>
      <c r="AQ1278" t="s">
        <v>72</v>
      </c>
      <c r="AR1278" t="s">
        <v>72</v>
      </c>
      <c r="AS1278">
        <v>409</v>
      </c>
      <c r="AT1278" s="4">
        <v>42779</v>
      </c>
      <c r="AU1278" t="s">
        <v>73</v>
      </c>
      <c r="AV1278">
        <v>409</v>
      </c>
      <c r="AW1278" s="4">
        <v>42779</v>
      </c>
      <c r="BD1278">
        <v>0</v>
      </c>
      <c r="BN1278" t="s">
        <v>74</v>
      </c>
    </row>
    <row r="1279" spans="1:66">
      <c r="A1279">
        <v>101754</v>
      </c>
      <c r="B1279" t="s">
        <v>319</v>
      </c>
      <c r="C1279" s="1">
        <v>43300101</v>
      </c>
      <c r="D1279" t="s">
        <v>67</v>
      </c>
      <c r="H1279" t="str">
        <f t="shared" si="164"/>
        <v>07328871210</v>
      </c>
      <c r="I1279" t="str">
        <f t="shared" si="164"/>
        <v>07328871210</v>
      </c>
      <c r="K1279" t="str">
        <f>""</f>
        <v/>
      </c>
      <c r="M1279" t="s">
        <v>68</v>
      </c>
      <c r="N1279" t="str">
        <f t="shared" si="162"/>
        <v>FOR</v>
      </c>
      <c r="O1279" t="s">
        <v>69</v>
      </c>
      <c r="P1279" t="s">
        <v>75</v>
      </c>
      <c r="Q1279">
        <v>2016</v>
      </c>
      <c r="R1279" s="4">
        <v>42521</v>
      </c>
      <c r="S1279" s="2">
        <v>42534</v>
      </c>
      <c r="T1279" s="2">
        <v>42531</v>
      </c>
      <c r="U1279" s="4">
        <v>42591</v>
      </c>
      <c r="V1279" t="s">
        <v>71</v>
      </c>
      <c r="W1279" t="str">
        <f>"             395/FEP"</f>
        <v xml:space="preserve">             395/FEP</v>
      </c>
      <c r="X1279">
        <v>327.94</v>
      </c>
      <c r="Y1279">
        <v>0</v>
      </c>
      <c r="Z1279" s="5">
        <v>268.8</v>
      </c>
      <c r="AA1279" s="3">
        <v>202</v>
      </c>
      <c r="AB1279" s="5">
        <v>54297.599999999999</v>
      </c>
      <c r="AC1279">
        <v>268.8</v>
      </c>
      <c r="AD1279">
        <v>202</v>
      </c>
      <c r="AE1279" s="1">
        <v>54297.599999999999</v>
      </c>
      <c r="AF1279">
        <v>0</v>
      </c>
      <c r="AJ1279">
        <v>0</v>
      </c>
      <c r="AK1279">
        <v>0</v>
      </c>
      <c r="AL1279">
        <v>0</v>
      </c>
      <c r="AM1279">
        <v>0</v>
      </c>
      <c r="AN1279">
        <v>0</v>
      </c>
      <c r="AO1279">
        <v>0</v>
      </c>
      <c r="AP1279" s="2">
        <v>42831</v>
      </c>
      <c r="AQ1279" t="s">
        <v>72</v>
      </c>
      <c r="AR1279" t="s">
        <v>72</v>
      </c>
      <c r="AS1279">
        <v>605</v>
      </c>
      <c r="AT1279" s="4">
        <v>42793</v>
      </c>
      <c r="AU1279" t="s">
        <v>73</v>
      </c>
      <c r="AV1279">
        <v>605</v>
      </c>
      <c r="AW1279" s="4">
        <v>42793</v>
      </c>
      <c r="BD1279">
        <v>0</v>
      </c>
      <c r="BN1279" t="s">
        <v>74</v>
      </c>
    </row>
    <row r="1280" spans="1:66">
      <c r="A1280">
        <v>101754</v>
      </c>
      <c r="B1280" t="s">
        <v>319</v>
      </c>
      <c r="C1280" s="1">
        <v>43300101</v>
      </c>
      <c r="D1280" t="s">
        <v>67</v>
      </c>
      <c r="H1280" t="str">
        <f t="shared" si="164"/>
        <v>07328871210</v>
      </c>
      <c r="I1280" t="str">
        <f t="shared" si="164"/>
        <v>07328871210</v>
      </c>
      <c r="K1280" t="str">
        <f>""</f>
        <v/>
      </c>
      <c r="M1280" t="s">
        <v>68</v>
      </c>
      <c r="N1280" t="str">
        <f t="shared" si="162"/>
        <v>FOR</v>
      </c>
      <c r="O1280" t="s">
        <v>69</v>
      </c>
      <c r="P1280" t="s">
        <v>75</v>
      </c>
      <c r="Q1280">
        <v>2016</v>
      </c>
      <c r="R1280" s="4">
        <v>42521</v>
      </c>
      <c r="S1280" s="2">
        <v>42534</v>
      </c>
      <c r="T1280" s="2">
        <v>42531</v>
      </c>
      <c r="U1280" s="4">
        <v>42591</v>
      </c>
      <c r="V1280" t="s">
        <v>71</v>
      </c>
      <c r="W1280" t="str">
        <f>"             396/FEP"</f>
        <v xml:space="preserve">             396/FEP</v>
      </c>
      <c r="X1280">
        <v>333.06</v>
      </c>
      <c r="Y1280">
        <v>0</v>
      </c>
      <c r="Z1280" s="5">
        <v>273</v>
      </c>
      <c r="AA1280" s="3">
        <v>202</v>
      </c>
      <c r="AB1280" s="5">
        <v>55146</v>
      </c>
      <c r="AC1280">
        <v>273</v>
      </c>
      <c r="AD1280">
        <v>202</v>
      </c>
      <c r="AE1280" s="1">
        <v>55146</v>
      </c>
      <c r="AF1280">
        <v>0</v>
      </c>
      <c r="AJ1280">
        <v>0</v>
      </c>
      <c r="AK1280">
        <v>0</v>
      </c>
      <c r="AL1280">
        <v>0</v>
      </c>
      <c r="AM1280">
        <v>0</v>
      </c>
      <c r="AN1280">
        <v>0</v>
      </c>
      <c r="AO1280">
        <v>0</v>
      </c>
      <c r="AP1280" s="2">
        <v>42831</v>
      </c>
      <c r="AQ1280" t="s">
        <v>72</v>
      </c>
      <c r="AR1280" t="s">
        <v>72</v>
      </c>
      <c r="AS1280">
        <v>605</v>
      </c>
      <c r="AT1280" s="4">
        <v>42793</v>
      </c>
      <c r="AU1280" t="s">
        <v>73</v>
      </c>
      <c r="AV1280">
        <v>605</v>
      </c>
      <c r="AW1280" s="4">
        <v>42793</v>
      </c>
      <c r="BD1280">
        <v>0</v>
      </c>
      <c r="BN1280" t="s">
        <v>74</v>
      </c>
    </row>
    <row r="1281" spans="1:66">
      <c r="A1281">
        <v>101754</v>
      </c>
      <c r="B1281" t="s">
        <v>319</v>
      </c>
      <c r="C1281" s="1">
        <v>43300101</v>
      </c>
      <c r="D1281" t="s">
        <v>67</v>
      </c>
      <c r="H1281" t="str">
        <f t="shared" si="164"/>
        <v>07328871210</v>
      </c>
      <c r="I1281" t="str">
        <f t="shared" si="164"/>
        <v>07328871210</v>
      </c>
      <c r="K1281" t="str">
        <f>""</f>
        <v/>
      </c>
      <c r="M1281" t="s">
        <v>68</v>
      </c>
      <c r="N1281" t="str">
        <f t="shared" si="162"/>
        <v>FOR</v>
      </c>
      <c r="O1281" t="s">
        <v>69</v>
      </c>
      <c r="P1281" t="s">
        <v>75</v>
      </c>
      <c r="Q1281">
        <v>2016</v>
      </c>
      <c r="R1281" s="4">
        <v>42521</v>
      </c>
      <c r="S1281" s="2">
        <v>42534</v>
      </c>
      <c r="T1281" s="2">
        <v>42531</v>
      </c>
      <c r="U1281" s="4">
        <v>42591</v>
      </c>
      <c r="V1281" t="s">
        <v>71</v>
      </c>
      <c r="W1281" t="str">
        <f>"             397/FEP"</f>
        <v xml:space="preserve">             397/FEP</v>
      </c>
      <c r="X1281" s="1">
        <v>1244.4000000000001</v>
      </c>
      <c r="Y1281">
        <v>0</v>
      </c>
      <c r="Z1281" s="5">
        <v>1020</v>
      </c>
      <c r="AA1281" s="3">
        <v>202</v>
      </c>
      <c r="AB1281" s="5">
        <v>206040</v>
      </c>
      <c r="AC1281" s="1">
        <v>1020</v>
      </c>
      <c r="AD1281">
        <v>202</v>
      </c>
      <c r="AE1281" s="1">
        <v>206040</v>
      </c>
      <c r="AF1281">
        <v>0</v>
      </c>
      <c r="AJ1281">
        <v>0</v>
      </c>
      <c r="AK1281">
        <v>0</v>
      </c>
      <c r="AL1281">
        <v>0</v>
      </c>
      <c r="AM1281">
        <v>0</v>
      </c>
      <c r="AN1281">
        <v>0</v>
      </c>
      <c r="AO1281">
        <v>0</v>
      </c>
      <c r="AP1281" s="2">
        <v>42831</v>
      </c>
      <c r="AQ1281" t="s">
        <v>72</v>
      </c>
      <c r="AR1281" t="s">
        <v>72</v>
      </c>
      <c r="AS1281">
        <v>605</v>
      </c>
      <c r="AT1281" s="4">
        <v>42793</v>
      </c>
      <c r="AU1281" t="s">
        <v>73</v>
      </c>
      <c r="AV1281">
        <v>605</v>
      </c>
      <c r="AW1281" s="4">
        <v>42793</v>
      </c>
      <c r="BD1281">
        <v>0</v>
      </c>
      <c r="BN1281" t="s">
        <v>74</v>
      </c>
    </row>
    <row r="1282" spans="1:66">
      <c r="A1282">
        <v>101754</v>
      </c>
      <c r="B1282" t="s">
        <v>319</v>
      </c>
      <c r="C1282" s="1">
        <v>43300101</v>
      </c>
      <c r="D1282" t="s">
        <v>67</v>
      </c>
      <c r="H1282" t="str">
        <f t="shared" si="164"/>
        <v>07328871210</v>
      </c>
      <c r="I1282" t="str">
        <f t="shared" si="164"/>
        <v>07328871210</v>
      </c>
      <c r="K1282" t="str">
        <f>""</f>
        <v/>
      </c>
      <c r="M1282" t="s">
        <v>68</v>
      </c>
      <c r="N1282" t="str">
        <f t="shared" si="162"/>
        <v>FOR</v>
      </c>
      <c r="O1282" t="s">
        <v>69</v>
      </c>
      <c r="P1282" t="s">
        <v>75</v>
      </c>
      <c r="Q1282">
        <v>2016</v>
      </c>
      <c r="R1282" s="4">
        <v>42521</v>
      </c>
      <c r="S1282" s="2">
        <v>42534</v>
      </c>
      <c r="T1282" s="2">
        <v>42531</v>
      </c>
      <c r="U1282" s="4">
        <v>42591</v>
      </c>
      <c r="V1282" t="s">
        <v>71</v>
      </c>
      <c r="W1282" t="str">
        <f>"             398/FEP"</f>
        <v xml:space="preserve">             398/FEP</v>
      </c>
      <c r="X1282" s="1">
        <v>1073.5999999999999</v>
      </c>
      <c r="Y1282">
        <v>0</v>
      </c>
      <c r="Z1282" s="5">
        <v>880</v>
      </c>
      <c r="AA1282" s="3">
        <v>202</v>
      </c>
      <c r="AB1282" s="5">
        <v>177760</v>
      </c>
      <c r="AC1282">
        <v>880</v>
      </c>
      <c r="AD1282">
        <v>202</v>
      </c>
      <c r="AE1282" s="1">
        <v>177760</v>
      </c>
      <c r="AF1282">
        <v>0</v>
      </c>
      <c r="AJ1282">
        <v>0</v>
      </c>
      <c r="AK1282">
        <v>0</v>
      </c>
      <c r="AL1282">
        <v>0</v>
      </c>
      <c r="AM1282">
        <v>0</v>
      </c>
      <c r="AN1282">
        <v>0</v>
      </c>
      <c r="AO1282">
        <v>0</v>
      </c>
      <c r="AP1282" s="2">
        <v>42831</v>
      </c>
      <c r="AQ1282" t="s">
        <v>72</v>
      </c>
      <c r="AR1282" t="s">
        <v>72</v>
      </c>
      <c r="AS1282">
        <v>605</v>
      </c>
      <c r="AT1282" s="4">
        <v>42793</v>
      </c>
      <c r="AU1282" t="s">
        <v>73</v>
      </c>
      <c r="AV1282">
        <v>605</v>
      </c>
      <c r="AW1282" s="4">
        <v>42793</v>
      </c>
      <c r="BD1282">
        <v>0</v>
      </c>
      <c r="BN1282" t="s">
        <v>74</v>
      </c>
    </row>
    <row r="1283" spans="1:66">
      <c r="A1283">
        <v>101754</v>
      </c>
      <c r="B1283" t="s">
        <v>319</v>
      </c>
      <c r="C1283" s="1">
        <v>43300101</v>
      </c>
      <c r="D1283" t="s">
        <v>67</v>
      </c>
      <c r="H1283" t="str">
        <f t="shared" si="164"/>
        <v>07328871210</v>
      </c>
      <c r="I1283" t="str">
        <f t="shared" si="164"/>
        <v>07328871210</v>
      </c>
      <c r="K1283" t="str">
        <f>""</f>
        <v/>
      </c>
      <c r="M1283" t="s">
        <v>68</v>
      </c>
      <c r="N1283" t="str">
        <f t="shared" si="162"/>
        <v>FOR</v>
      </c>
      <c r="O1283" t="s">
        <v>69</v>
      </c>
      <c r="P1283" t="s">
        <v>75</v>
      </c>
      <c r="Q1283">
        <v>2016</v>
      </c>
      <c r="R1283" s="4">
        <v>42521</v>
      </c>
      <c r="S1283" s="2">
        <v>42534</v>
      </c>
      <c r="T1283" s="2">
        <v>42531</v>
      </c>
      <c r="U1283" s="4">
        <v>42591</v>
      </c>
      <c r="V1283" t="s">
        <v>71</v>
      </c>
      <c r="W1283" t="str">
        <f>"             399/FEP"</f>
        <v xml:space="preserve">             399/FEP</v>
      </c>
      <c r="X1283">
        <v>695.4</v>
      </c>
      <c r="Y1283">
        <v>0</v>
      </c>
      <c r="Z1283" s="5">
        <v>570</v>
      </c>
      <c r="AA1283" s="3">
        <v>202</v>
      </c>
      <c r="AB1283" s="5">
        <v>115140</v>
      </c>
      <c r="AC1283">
        <v>570</v>
      </c>
      <c r="AD1283">
        <v>202</v>
      </c>
      <c r="AE1283" s="1">
        <v>115140</v>
      </c>
      <c r="AF1283">
        <v>0</v>
      </c>
      <c r="AJ1283">
        <v>0</v>
      </c>
      <c r="AK1283">
        <v>0</v>
      </c>
      <c r="AL1283">
        <v>0</v>
      </c>
      <c r="AM1283">
        <v>0</v>
      </c>
      <c r="AN1283">
        <v>0</v>
      </c>
      <c r="AO1283">
        <v>0</v>
      </c>
      <c r="AP1283" s="2">
        <v>42831</v>
      </c>
      <c r="AQ1283" t="s">
        <v>72</v>
      </c>
      <c r="AR1283" t="s">
        <v>72</v>
      </c>
      <c r="AS1283">
        <v>605</v>
      </c>
      <c r="AT1283" s="4">
        <v>42793</v>
      </c>
      <c r="AU1283" t="s">
        <v>73</v>
      </c>
      <c r="AV1283">
        <v>605</v>
      </c>
      <c r="AW1283" s="4">
        <v>42793</v>
      </c>
      <c r="BD1283">
        <v>0</v>
      </c>
      <c r="BN1283" t="s">
        <v>74</v>
      </c>
    </row>
    <row r="1284" spans="1:66">
      <c r="A1284">
        <v>101754</v>
      </c>
      <c r="B1284" t="s">
        <v>319</v>
      </c>
      <c r="C1284" s="1">
        <v>43300101</v>
      </c>
      <c r="D1284" t="s">
        <v>67</v>
      </c>
      <c r="H1284" t="str">
        <f t="shared" si="164"/>
        <v>07328871210</v>
      </c>
      <c r="I1284" t="str">
        <f t="shared" si="164"/>
        <v>07328871210</v>
      </c>
      <c r="K1284" t="str">
        <f>""</f>
        <v/>
      </c>
      <c r="M1284" t="s">
        <v>68</v>
      </c>
      <c r="N1284" t="str">
        <f t="shared" si="162"/>
        <v>FOR</v>
      </c>
      <c r="O1284" t="s">
        <v>69</v>
      </c>
      <c r="P1284" t="s">
        <v>75</v>
      </c>
      <c r="Q1284">
        <v>2016</v>
      </c>
      <c r="R1284" s="4">
        <v>42521</v>
      </c>
      <c r="S1284" s="2">
        <v>42534</v>
      </c>
      <c r="T1284" s="2">
        <v>42531</v>
      </c>
      <c r="U1284" s="4">
        <v>42591</v>
      </c>
      <c r="V1284" t="s">
        <v>71</v>
      </c>
      <c r="W1284" t="str">
        <f>"             400/FEP"</f>
        <v xml:space="preserve">             400/FEP</v>
      </c>
      <c r="X1284">
        <v>819.84</v>
      </c>
      <c r="Y1284">
        <v>0</v>
      </c>
      <c r="Z1284" s="5">
        <v>672</v>
      </c>
      <c r="AA1284" s="3">
        <v>202</v>
      </c>
      <c r="AB1284" s="5">
        <v>135744</v>
      </c>
      <c r="AC1284">
        <v>672</v>
      </c>
      <c r="AD1284">
        <v>202</v>
      </c>
      <c r="AE1284" s="1">
        <v>135744</v>
      </c>
      <c r="AF1284">
        <v>0</v>
      </c>
      <c r="AJ1284">
        <v>0</v>
      </c>
      <c r="AK1284">
        <v>0</v>
      </c>
      <c r="AL1284">
        <v>0</v>
      </c>
      <c r="AM1284">
        <v>0</v>
      </c>
      <c r="AN1284">
        <v>0</v>
      </c>
      <c r="AO1284">
        <v>0</v>
      </c>
      <c r="AP1284" s="2">
        <v>42831</v>
      </c>
      <c r="AQ1284" t="s">
        <v>72</v>
      </c>
      <c r="AR1284" t="s">
        <v>72</v>
      </c>
      <c r="AS1284">
        <v>605</v>
      </c>
      <c r="AT1284" s="4">
        <v>42793</v>
      </c>
      <c r="AU1284" t="s">
        <v>73</v>
      </c>
      <c r="AV1284">
        <v>605</v>
      </c>
      <c r="AW1284" s="4">
        <v>42793</v>
      </c>
      <c r="BD1284">
        <v>0</v>
      </c>
      <c r="BN1284" t="s">
        <v>74</v>
      </c>
    </row>
    <row r="1285" spans="1:66">
      <c r="A1285">
        <v>101754</v>
      </c>
      <c r="B1285" t="s">
        <v>319</v>
      </c>
      <c r="C1285" s="1">
        <v>43300101</v>
      </c>
      <c r="D1285" t="s">
        <v>67</v>
      </c>
      <c r="H1285" t="str">
        <f t="shared" si="164"/>
        <v>07328871210</v>
      </c>
      <c r="I1285" t="str">
        <f t="shared" si="164"/>
        <v>07328871210</v>
      </c>
      <c r="K1285" t="str">
        <f>""</f>
        <v/>
      </c>
      <c r="M1285" t="s">
        <v>68</v>
      </c>
      <c r="N1285" t="str">
        <f t="shared" si="162"/>
        <v>FOR</v>
      </c>
      <c r="O1285" t="s">
        <v>69</v>
      </c>
      <c r="P1285" t="s">
        <v>75</v>
      </c>
      <c r="Q1285">
        <v>2016</v>
      </c>
      <c r="R1285" s="4">
        <v>42551</v>
      </c>
      <c r="S1285" s="2">
        <v>42558</v>
      </c>
      <c r="T1285" s="2">
        <v>42556</v>
      </c>
      <c r="U1285" s="4">
        <v>42616</v>
      </c>
      <c r="V1285" t="s">
        <v>71</v>
      </c>
      <c r="W1285" t="str">
        <f>"             485/FEP"</f>
        <v xml:space="preserve">             485/FEP</v>
      </c>
      <c r="X1285">
        <v>81.98</v>
      </c>
      <c r="Y1285">
        <v>0</v>
      </c>
      <c r="Z1285" s="5">
        <v>67.2</v>
      </c>
      <c r="AA1285" s="3">
        <v>177</v>
      </c>
      <c r="AB1285" s="5">
        <v>11894.4</v>
      </c>
      <c r="AC1285">
        <v>67.2</v>
      </c>
      <c r="AD1285">
        <v>177</v>
      </c>
      <c r="AE1285" s="1">
        <v>11894.4</v>
      </c>
      <c r="AF1285">
        <v>0</v>
      </c>
      <c r="AJ1285">
        <v>0</v>
      </c>
      <c r="AK1285">
        <v>0</v>
      </c>
      <c r="AL1285">
        <v>0</v>
      </c>
      <c r="AM1285">
        <v>0</v>
      </c>
      <c r="AN1285">
        <v>0</v>
      </c>
      <c r="AO1285">
        <v>0</v>
      </c>
      <c r="AP1285" s="2">
        <v>42831</v>
      </c>
      <c r="AQ1285" t="s">
        <v>72</v>
      </c>
      <c r="AR1285" t="s">
        <v>72</v>
      </c>
      <c r="AS1285">
        <v>605</v>
      </c>
      <c r="AT1285" s="4">
        <v>42793</v>
      </c>
      <c r="AU1285" t="s">
        <v>73</v>
      </c>
      <c r="AV1285">
        <v>605</v>
      </c>
      <c r="AW1285" s="4">
        <v>42793</v>
      </c>
      <c r="BD1285">
        <v>0</v>
      </c>
      <c r="BN1285" t="s">
        <v>74</v>
      </c>
    </row>
    <row r="1286" spans="1:66">
      <c r="A1286">
        <v>101754</v>
      </c>
      <c r="B1286" t="s">
        <v>319</v>
      </c>
      <c r="C1286" s="1">
        <v>43300101</v>
      </c>
      <c r="D1286" t="s">
        <v>67</v>
      </c>
      <c r="H1286" t="str">
        <f t="shared" si="164"/>
        <v>07328871210</v>
      </c>
      <c r="I1286" t="str">
        <f t="shared" si="164"/>
        <v>07328871210</v>
      </c>
      <c r="K1286" t="str">
        <f>""</f>
        <v/>
      </c>
      <c r="M1286" t="s">
        <v>68</v>
      </c>
      <c r="N1286" t="str">
        <f t="shared" si="162"/>
        <v>FOR</v>
      </c>
      <c r="O1286" t="s">
        <v>69</v>
      </c>
      <c r="P1286" t="s">
        <v>75</v>
      </c>
      <c r="Q1286">
        <v>2016</v>
      </c>
      <c r="R1286" s="4">
        <v>42551</v>
      </c>
      <c r="S1286" s="2">
        <v>42558</v>
      </c>
      <c r="T1286" s="2">
        <v>42556</v>
      </c>
      <c r="U1286" s="4">
        <v>42616</v>
      </c>
      <c r="V1286" t="s">
        <v>71</v>
      </c>
      <c r="W1286" t="str">
        <f>"             486/FEP"</f>
        <v xml:space="preserve">             486/FEP</v>
      </c>
      <c r="X1286">
        <v>604.14</v>
      </c>
      <c r="Y1286">
        <v>0</v>
      </c>
      <c r="Z1286" s="5">
        <v>495.2</v>
      </c>
      <c r="AA1286" s="3">
        <v>177</v>
      </c>
      <c r="AB1286" s="5">
        <v>87650.4</v>
      </c>
      <c r="AC1286">
        <v>495.2</v>
      </c>
      <c r="AD1286">
        <v>177</v>
      </c>
      <c r="AE1286" s="1">
        <v>87650.4</v>
      </c>
      <c r="AF1286">
        <v>0</v>
      </c>
      <c r="AJ1286">
        <v>0</v>
      </c>
      <c r="AK1286">
        <v>0</v>
      </c>
      <c r="AL1286">
        <v>0</v>
      </c>
      <c r="AM1286">
        <v>0</v>
      </c>
      <c r="AN1286">
        <v>0</v>
      </c>
      <c r="AO1286">
        <v>0</v>
      </c>
      <c r="AP1286" s="2">
        <v>42831</v>
      </c>
      <c r="AQ1286" t="s">
        <v>72</v>
      </c>
      <c r="AR1286" t="s">
        <v>72</v>
      </c>
      <c r="AS1286">
        <v>605</v>
      </c>
      <c r="AT1286" s="4">
        <v>42793</v>
      </c>
      <c r="AU1286" t="s">
        <v>73</v>
      </c>
      <c r="AV1286">
        <v>605</v>
      </c>
      <c r="AW1286" s="4">
        <v>42793</v>
      </c>
      <c r="BD1286">
        <v>0</v>
      </c>
      <c r="BN1286" t="s">
        <v>74</v>
      </c>
    </row>
    <row r="1287" spans="1:66">
      <c r="A1287">
        <v>101754</v>
      </c>
      <c r="B1287" t="s">
        <v>319</v>
      </c>
      <c r="C1287" s="1">
        <v>43300101</v>
      </c>
      <c r="D1287" t="s">
        <v>67</v>
      </c>
      <c r="H1287" t="str">
        <f t="shared" si="164"/>
        <v>07328871210</v>
      </c>
      <c r="I1287" t="str">
        <f t="shared" si="164"/>
        <v>07328871210</v>
      </c>
      <c r="K1287" t="str">
        <f>""</f>
        <v/>
      </c>
      <c r="M1287" t="s">
        <v>68</v>
      </c>
      <c r="N1287" t="str">
        <f t="shared" si="162"/>
        <v>FOR</v>
      </c>
      <c r="O1287" t="s">
        <v>69</v>
      </c>
      <c r="P1287" t="s">
        <v>75</v>
      </c>
      <c r="Q1287">
        <v>2016</v>
      </c>
      <c r="R1287" s="4">
        <v>42551</v>
      </c>
      <c r="S1287" s="2">
        <v>42558</v>
      </c>
      <c r="T1287" s="2">
        <v>42557</v>
      </c>
      <c r="U1287" s="4">
        <v>42617</v>
      </c>
      <c r="V1287" t="s">
        <v>71</v>
      </c>
      <c r="W1287" t="str">
        <f>"             487/FEP"</f>
        <v xml:space="preserve">             487/FEP</v>
      </c>
      <c r="X1287">
        <v>508.74</v>
      </c>
      <c r="Y1287">
        <v>0</v>
      </c>
      <c r="Z1287" s="5">
        <v>417</v>
      </c>
      <c r="AA1287" s="3">
        <v>176</v>
      </c>
      <c r="AB1287" s="5">
        <v>73392</v>
      </c>
      <c r="AC1287">
        <v>417</v>
      </c>
      <c r="AD1287">
        <v>176</v>
      </c>
      <c r="AE1287" s="1">
        <v>73392</v>
      </c>
      <c r="AF1287">
        <v>0</v>
      </c>
      <c r="AJ1287">
        <v>0</v>
      </c>
      <c r="AK1287">
        <v>0</v>
      </c>
      <c r="AL1287">
        <v>0</v>
      </c>
      <c r="AM1287">
        <v>0</v>
      </c>
      <c r="AN1287">
        <v>0</v>
      </c>
      <c r="AO1287">
        <v>0</v>
      </c>
      <c r="AP1287" s="2">
        <v>42831</v>
      </c>
      <c r="AQ1287" t="s">
        <v>72</v>
      </c>
      <c r="AR1287" t="s">
        <v>72</v>
      </c>
      <c r="AS1287">
        <v>605</v>
      </c>
      <c r="AT1287" s="4">
        <v>42793</v>
      </c>
      <c r="AU1287" t="s">
        <v>73</v>
      </c>
      <c r="AV1287">
        <v>605</v>
      </c>
      <c r="AW1287" s="4">
        <v>42793</v>
      </c>
      <c r="BD1287">
        <v>0</v>
      </c>
      <c r="BN1287" t="s">
        <v>74</v>
      </c>
    </row>
    <row r="1288" spans="1:66">
      <c r="A1288">
        <v>101754</v>
      </c>
      <c r="B1288" t="s">
        <v>319</v>
      </c>
      <c r="C1288" s="1">
        <v>43300101</v>
      </c>
      <c r="D1288" t="s">
        <v>67</v>
      </c>
      <c r="H1288" t="str">
        <f t="shared" si="164"/>
        <v>07328871210</v>
      </c>
      <c r="I1288" t="str">
        <f t="shared" si="164"/>
        <v>07328871210</v>
      </c>
      <c r="K1288" t="str">
        <f>""</f>
        <v/>
      </c>
      <c r="M1288" t="s">
        <v>68</v>
      </c>
      <c r="N1288" t="str">
        <f t="shared" si="162"/>
        <v>FOR</v>
      </c>
      <c r="O1288" t="s">
        <v>69</v>
      </c>
      <c r="P1288" t="s">
        <v>75</v>
      </c>
      <c r="Q1288">
        <v>2016</v>
      </c>
      <c r="R1288" s="4">
        <v>42551</v>
      </c>
      <c r="S1288" s="2">
        <v>42558</v>
      </c>
      <c r="T1288" s="2">
        <v>42557</v>
      </c>
      <c r="U1288" s="4">
        <v>42617</v>
      </c>
      <c r="V1288" t="s">
        <v>71</v>
      </c>
      <c r="W1288" t="str">
        <f>"             488/FEP"</f>
        <v xml:space="preserve">             488/FEP</v>
      </c>
      <c r="X1288" s="1">
        <v>1526.22</v>
      </c>
      <c r="Y1288">
        <v>0</v>
      </c>
      <c r="Z1288" s="5">
        <v>1251</v>
      </c>
      <c r="AA1288" s="3">
        <v>176</v>
      </c>
      <c r="AB1288" s="5">
        <v>220176</v>
      </c>
      <c r="AC1288" s="1">
        <v>1251</v>
      </c>
      <c r="AD1288">
        <v>176</v>
      </c>
      <c r="AE1288" s="1">
        <v>220176</v>
      </c>
      <c r="AF1288">
        <v>0</v>
      </c>
      <c r="AJ1288">
        <v>0</v>
      </c>
      <c r="AK1288">
        <v>0</v>
      </c>
      <c r="AL1288">
        <v>0</v>
      </c>
      <c r="AM1288">
        <v>0</v>
      </c>
      <c r="AN1288">
        <v>0</v>
      </c>
      <c r="AO1288">
        <v>0</v>
      </c>
      <c r="AP1288" s="2">
        <v>42831</v>
      </c>
      <c r="AQ1288" t="s">
        <v>72</v>
      </c>
      <c r="AR1288" t="s">
        <v>72</v>
      </c>
      <c r="AS1288">
        <v>605</v>
      </c>
      <c r="AT1288" s="4">
        <v>42793</v>
      </c>
      <c r="AU1288" t="s">
        <v>73</v>
      </c>
      <c r="AV1288">
        <v>605</v>
      </c>
      <c r="AW1288" s="4">
        <v>42793</v>
      </c>
      <c r="BD1288">
        <v>0</v>
      </c>
      <c r="BN1288" t="s">
        <v>74</v>
      </c>
    </row>
    <row r="1289" spans="1:66">
      <c r="A1289">
        <v>101754</v>
      </c>
      <c r="B1289" t="s">
        <v>319</v>
      </c>
      <c r="C1289" s="1">
        <v>43300101</v>
      </c>
      <c r="D1289" t="s">
        <v>67</v>
      </c>
      <c r="H1289" t="str">
        <f t="shared" si="164"/>
        <v>07328871210</v>
      </c>
      <c r="I1289" t="str">
        <f t="shared" si="164"/>
        <v>07328871210</v>
      </c>
      <c r="K1289" t="str">
        <f>""</f>
        <v/>
      </c>
      <c r="M1289" t="s">
        <v>68</v>
      </c>
      <c r="N1289" t="str">
        <f t="shared" si="162"/>
        <v>FOR</v>
      </c>
      <c r="O1289" t="s">
        <v>69</v>
      </c>
      <c r="P1289" t="s">
        <v>75</v>
      </c>
      <c r="Q1289">
        <v>2016</v>
      </c>
      <c r="R1289" s="4">
        <v>42551</v>
      </c>
      <c r="S1289" s="2">
        <v>42558</v>
      </c>
      <c r="T1289" s="2">
        <v>42557</v>
      </c>
      <c r="U1289" s="4">
        <v>42617</v>
      </c>
      <c r="V1289" t="s">
        <v>71</v>
      </c>
      <c r="W1289" t="str">
        <f>"             489/FEP"</f>
        <v xml:space="preserve">             489/FEP</v>
      </c>
      <c r="X1289">
        <v>409.92</v>
      </c>
      <c r="Y1289">
        <v>0</v>
      </c>
      <c r="Z1289" s="5">
        <v>336</v>
      </c>
      <c r="AA1289" s="3">
        <v>176</v>
      </c>
      <c r="AB1289" s="5">
        <v>59136</v>
      </c>
      <c r="AC1289">
        <v>336</v>
      </c>
      <c r="AD1289">
        <v>176</v>
      </c>
      <c r="AE1289" s="1">
        <v>59136</v>
      </c>
      <c r="AF1289">
        <v>0</v>
      </c>
      <c r="AJ1289">
        <v>0</v>
      </c>
      <c r="AK1289">
        <v>0</v>
      </c>
      <c r="AL1289">
        <v>0</v>
      </c>
      <c r="AM1289">
        <v>0</v>
      </c>
      <c r="AN1289">
        <v>0</v>
      </c>
      <c r="AO1289">
        <v>0</v>
      </c>
      <c r="AP1289" s="2">
        <v>42831</v>
      </c>
      <c r="AQ1289" t="s">
        <v>72</v>
      </c>
      <c r="AR1289" t="s">
        <v>72</v>
      </c>
      <c r="AS1289">
        <v>605</v>
      </c>
      <c r="AT1289" s="4">
        <v>42793</v>
      </c>
      <c r="AU1289" t="s">
        <v>73</v>
      </c>
      <c r="AV1289">
        <v>605</v>
      </c>
      <c r="AW1289" s="4">
        <v>42793</v>
      </c>
      <c r="BD1289">
        <v>0</v>
      </c>
      <c r="BN1289" t="s">
        <v>74</v>
      </c>
    </row>
    <row r="1290" spans="1:66">
      <c r="A1290">
        <v>101754</v>
      </c>
      <c r="B1290" t="s">
        <v>319</v>
      </c>
      <c r="C1290" s="1">
        <v>43300101</v>
      </c>
      <c r="D1290" t="s">
        <v>67</v>
      </c>
      <c r="H1290" t="str">
        <f t="shared" si="164"/>
        <v>07328871210</v>
      </c>
      <c r="I1290" t="str">
        <f t="shared" si="164"/>
        <v>07328871210</v>
      </c>
      <c r="K1290" t="str">
        <f>""</f>
        <v/>
      </c>
      <c r="M1290" t="s">
        <v>68</v>
      </c>
      <c r="N1290" t="str">
        <f t="shared" si="162"/>
        <v>FOR</v>
      </c>
      <c r="O1290" t="s">
        <v>69</v>
      </c>
      <c r="P1290" t="s">
        <v>75</v>
      </c>
      <c r="Q1290">
        <v>2016</v>
      </c>
      <c r="R1290" s="4">
        <v>42551</v>
      </c>
      <c r="S1290" s="2">
        <v>42558</v>
      </c>
      <c r="T1290" s="2">
        <v>42557</v>
      </c>
      <c r="U1290" s="4">
        <v>42617</v>
      </c>
      <c r="V1290" t="s">
        <v>71</v>
      </c>
      <c r="W1290" t="str">
        <f>"             490/FEP"</f>
        <v xml:space="preserve">             490/FEP</v>
      </c>
      <c r="X1290" s="1">
        <v>1769</v>
      </c>
      <c r="Y1290">
        <v>0</v>
      </c>
      <c r="Z1290" s="5">
        <v>1450</v>
      </c>
      <c r="AA1290" s="3">
        <v>176</v>
      </c>
      <c r="AB1290" s="5">
        <v>255200</v>
      </c>
      <c r="AC1290" s="1">
        <v>1450</v>
      </c>
      <c r="AD1290">
        <v>176</v>
      </c>
      <c r="AE1290" s="1">
        <v>255200</v>
      </c>
      <c r="AF1290">
        <v>0</v>
      </c>
      <c r="AJ1290">
        <v>0</v>
      </c>
      <c r="AK1290">
        <v>0</v>
      </c>
      <c r="AL1290">
        <v>0</v>
      </c>
      <c r="AM1290">
        <v>0</v>
      </c>
      <c r="AN1290">
        <v>0</v>
      </c>
      <c r="AO1290">
        <v>0</v>
      </c>
      <c r="AP1290" s="2">
        <v>42831</v>
      </c>
      <c r="AQ1290" t="s">
        <v>72</v>
      </c>
      <c r="AR1290" t="s">
        <v>72</v>
      </c>
      <c r="AS1290">
        <v>605</v>
      </c>
      <c r="AT1290" s="4">
        <v>42793</v>
      </c>
      <c r="AU1290" t="s">
        <v>73</v>
      </c>
      <c r="AV1290">
        <v>605</v>
      </c>
      <c r="AW1290" s="4">
        <v>42793</v>
      </c>
      <c r="BD1290">
        <v>0</v>
      </c>
      <c r="BN1290" t="s">
        <v>74</v>
      </c>
    </row>
    <row r="1291" spans="1:66">
      <c r="A1291">
        <v>101778</v>
      </c>
      <c r="B1291" t="s">
        <v>320</v>
      </c>
      <c r="C1291" s="1">
        <v>43300101</v>
      </c>
      <c r="D1291" t="s">
        <v>67</v>
      </c>
      <c r="H1291" t="str">
        <f t="shared" ref="H1291:I1293" si="165">"01791230152"</f>
        <v>01791230152</v>
      </c>
      <c r="I1291" t="str">
        <f t="shared" si="165"/>
        <v>01791230152</v>
      </c>
      <c r="K1291" t="str">
        <f>""</f>
        <v/>
      </c>
      <c r="M1291" t="s">
        <v>68</v>
      </c>
      <c r="N1291" t="str">
        <f t="shared" ref="N1291:N1322" si="166">"FOR"</f>
        <v>FOR</v>
      </c>
      <c r="O1291" t="s">
        <v>69</v>
      </c>
      <c r="P1291" t="s">
        <v>75</v>
      </c>
      <c r="Q1291">
        <v>2016</v>
      </c>
      <c r="R1291" s="4">
        <v>42660</v>
      </c>
      <c r="S1291" s="2">
        <v>42664</v>
      </c>
      <c r="T1291" s="2">
        <v>42664</v>
      </c>
      <c r="U1291" s="4">
        <v>42724</v>
      </c>
      <c r="V1291" t="s">
        <v>71</v>
      </c>
      <c r="W1291" t="str">
        <f>"              X00126"</f>
        <v xml:space="preserve">              X00126</v>
      </c>
      <c r="X1291" s="1">
        <v>1769</v>
      </c>
      <c r="Y1291">
        <v>0</v>
      </c>
      <c r="Z1291" s="5">
        <v>1450</v>
      </c>
      <c r="AA1291" s="3">
        <v>92</v>
      </c>
      <c r="AB1291" s="5">
        <v>133400</v>
      </c>
      <c r="AC1291" s="1">
        <v>1450</v>
      </c>
      <c r="AD1291">
        <v>92</v>
      </c>
      <c r="AE1291" s="1">
        <v>133400</v>
      </c>
      <c r="AF1291">
        <v>319</v>
      </c>
      <c r="AJ1291">
        <v>0</v>
      </c>
      <c r="AK1291">
        <v>0</v>
      </c>
      <c r="AL1291">
        <v>0</v>
      </c>
      <c r="AM1291">
        <v>0</v>
      </c>
      <c r="AN1291">
        <v>0</v>
      </c>
      <c r="AO1291">
        <v>0</v>
      </c>
      <c r="AP1291" s="2">
        <v>42831</v>
      </c>
      <c r="AQ1291" t="s">
        <v>72</v>
      </c>
      <c r="AR1291" t="s">
        <v>72</v>
      </c>
      <c r="AS1291">
        <v>885</v>
      </c>
      <c r="AT1291" s="4">
        <v>42816</v>
      </c>
      <c r="AU1291" t="s">
        <v>73</v>
      </c>
      <c r="AV1291">
        <v>885</v>
      </c>
      <c r="AW1291" s="4">
        <v>42816</v>
      </c>
      <c r="BA1291">
        <v>319</v>
      </c>
      <c r="BD1291">
        <v>0</v>
      </c>
      <c r="BN1291" t="s">
        <v>74</v>
      </c>
    </row>
    <row r="1292" spans="1:66">
      <c r="A1292">
        <v>101778</v>
      </c>
      <c r="B1292" t="s">
        <v>320</v>
      </c>
      <c r="C1292" s="1">
        <v>43300101</v>
      </c>
      <c r="D1292" t="s">
        <v>67</v>
      </c>
      <c r="H1292" t="str">
        <f t="shared" si="165"/>
        <v>01791230152</v>
      </c>
      <c r="I1292" t="str">
        <f t="shared" si="165"/>
        <v>01791230152</v>
      </c>
      <c r="K1292" t="str">
        <f>""</f>
        <v/>
      </c>
      <c r="M1292" t="s">
        <v>68</v>
      </c>
      <c r="N1292" t="str">
        <f t="shared" si="166"/>
        <v>FOR</v>
      </c>
      <c r="O1292" t="s">
        <v>69</v>
      </c>
      <c r="P1292" t="s">
        <v>75</v>
      </c>
      <c r="Q1292">
        <v>2016</v>
      </c>
      <c r="R1292" s="4">
        <v>42697</v>
      </c>
      <c r="S1292" s="2">
        <v>42702</v>
      </c>
      <c r="T1292" s="2">
        <v>42698</v>
      </c>
      <c r="U1292" s="4">
        <v>42758</v>
      </c>
      <c r="V1292" t="s">
        <v>71</v>
      </c>
      <c r="W1292" t="str">
        <f>"              X00157"</f>
        <v xml:space="preserve">              X00157</v>
      </c>
      <c r="X1292" s="1">
        <v>1171.2</v>
      </c>
      <c r="Y1292">
        <v>0</v>
      </c>
      <c r="Z1292" s="5">
        <v>960</v>
      </c>
      <c r="AA1292" s="3">
        <v>58</v>
      </c>
      <c r="AB1292" s="5">
        <v>55680</v>
      </c>
      <c r="AC1292">
        <v>960</v>
      </c>
      <c r="AD1292">
        <v>58</v>
      </c>
      <c r="AE1292" s="1">
        <v>55680</v>
      </c>
      <c r="AF1292">
        <v>211.2</v>
      </c>
      <c r="AJ1292">
        <v>0</v>
      </c>
      <c r="AK1292">
        <v>0</v>
      </c>
      <c r="AL1292">
        <v>0</v>
      </c>
      <c r="AM1292">
        <v>0</v>
      </c>
      <c r="AN1292">
        <v>0</v>
      </c>
      <c r="AO1292">
        <v>0</v>
      </c>
      <c r="AP1292" s="2">
        <v>42831</v>
      </c>
      <c r="AQ1292" t="s">
        <v>72</v>
      </c>
      <c r="AR1292" t="s">
        <v>72</v>
      </c>
      <c r="AS1292">
        <v>885</v>
      </c>
      <c r="AT1292" s="4">
        <v>42816</v>
      </c>
      <c r="AU1292" t="s">
        <v>73</v>
      </c>
      <c r="AV1292">
        <v>885</v>
      </c>
      <c r="AW1292" s="4">
        <v>42816</v>
      </c>
      <c r="AZ1292">
        <v>211.2</v>
      </c>
      <c r="BD1292">
        <v>0</v>
      </c>
      <c r="BN1292" t="s">
        <v>74</v>
      </c>
    </row>
    <row r="1293" spans="1:66">
      <c r="A1293">
        <v>101778</v>
      </c>
      <c r="B1293" t="s">
        <v>320</v>
      </c>
      <c r="C1293" s="1">
        <v>43300101</v>
      </c>
      <c r="D1293" t="s">
        <v>67</v>
      </c>
      <c r="H1293" t="str">
        <f t="shared" si="165"/>
        <v>01791230152</v>
      </c>
      <c r="I1293" t="str">
        <f t="shared" si="165"/>
        <v>01791230152</v>
      </c>
      <c r="K1293" t="str">
        <f>""</f>
        <v/>
      </c>
      <c r="M1293" t="s">
        <v>68</v>
      </c>
      <c r="N1293" t="str">
        <f t="shared" si="166"/>
        <v>FOR</v>
      </c>
      <c r="O1293" t="s">
        <v>69</v>
      </c>
      <c r="P1293" t="s">
        <v>75</v>
      </c>
      <c r="Q1293">
        <v>2016</v>
      </c>
      <c r="R1293" s="4">
        <v>42719</v>
      </c>
      <c r="S1293" s="2">
        <v>42720</v>
      </c>
      <c r="T1293" s="2">
        <v>42719</v>
      </c>
      <c r="U1293" s="4">
        <v>42779</v>
      </c>
      <c r="V1293" t="s">
        <v>71</v>
      </c>
      <c r="W1293" t="str">
        <f>"              X00167"</f>
        <v xml:space="preserve">              X00167</v>
      </c>
      <c r="X1293" s="1">
        <v>1396.41</v>
      </c>
      <c r="Y1293">
        <v>0</v>
      </c>
      <c r="Z1293" s="5">
        <v>1144.5999999999999</v>
      </c>
      <c r="AA1293" s="3">
        <v>37</v>
      </c>
      <c r="AB1293" s="5">
        <v>42350.2</v>
      </c>
      <c r="AC1293" s="1">
        <v>1144.5999999999999</v>
      </c>
      <c r="AD1293">
        <v>37</v>
      </c>
      <c r="AE1293" s="1">
        <v>42350.2</v>
      </c>
      <c r="AF1293">
        <v>251.81</v>
      </c>
      <c r="AJ1293">
        <v>0</v>
      </c>
      <c r="AK1293">
        <v>0</v>
      </c>
      <c r="AL1293">
        <v>0</v>
      </c>
      <c r="AM1293">
        <v>0</v>
      </c>
      <c r="AN1293">
        <v>0</v>
      </c>
      <c r="AO1293">
        <v>0</v>
      </c>
      <c r="AP1293" s="2">
        <v>42831</v>
      </c>
      <c r="AQ1293" t="s">
        <v>72</v>
      </c>
      <c r="AR1293" t="s">
        <v>72</v>
      </c>
      <c r="AS1293">
        <v>885</v>
      </c>
      <c r="AT1293" s="4">
        <v>42816</v>
      </c>
      <c r="AU1293" t="s">
        <v>73</v>
      </c>
      <c r="AV1293">
        <v>885</v>
      </c>
      <c r="AW1293" s="4">
        <v>42816</v>
      </c>
      <c r="AY1293">
        <v>251.81</v>
      </c>
      <c r="BD1293">
        <v>0</v>
      </c>
      <c r="BN1293" t="s">
        <v>74</v>
      </c>
    </row>
    <row r="1294" spans="1:66">
      <c r="A1294">
        <v>101780</v>
      </c>
      <c r="B1294" t="s">
        <v>321</v>
      </c>
      <c r="C1294" s="1">
        <v>43300101</v>
      </c>
      <c r="D1294" t="s">
        <v>67</v>
      </c>
      <c r="H1294" t="str">
        <f t="shared" ref="H1294:I1296" si="167">"00873670152"</f>
        <v>00873670152</v>
      </c>
      <c r="I1294" t="str">
        <f t="shared" si="167"/>
        <v>00873670152</v>
      </c>
      <c r="K1294" t="str">
        <f>""</f>
        <v/>
      </c>
      <c r="M1294" t="s">
        <v>68</v>
      </c>
      <c r="N1294" t="str">
        <f t="shared" si="166"/>
        <v>FOR</v>
      </c>
      <c r="O1294" t="s">
        <v>69</v>
      </c>
      <c r="P1294" t="s">
        <v>75</v>
      </c>
      <c r="Q1294">
        <v>2016</v>
      </c>
      <c r="R1294" s="4">
        <v>42446</v>
      </c>
      <c r="S1294" s="2">
        <v>42447</v>
      </c>
      <c r="T1294" s="2">
        <v>42447</v>
      </c>
      <c r="U1294" s="4">
        <v>42507</v>
      </c>
      <c r="V1294" t="s">
        <v>71</v>
      </c>
      <c r="W1294" t="str">
        <f>"            91600206"</f>
        <v xml:space="preserve">            91600206</v>
      </c>
      <c r="X1294" s="1">
        <v>1817.8</v>
      </c>
      <c r="Y1294">
        <v>0</v>
      </c>
      <c r="Z1294" s="5">
        <v>1490</v>
      </c>
      <c r="AA1294" s="3">
        <v>259</v>
      </c>
      <c r="AB1294" s="5">
        <v>385910</v>
      </c>
      <c r="AC1294" s="1">
        <v>1490</v>
      </c>
      <c r="AD1294">
        <v>259</v>
      </c>
      <c r="AE1294" s="1">
        <v>385910</v>
      </c>
      <c r="AF1294">
        <v>0</v>
      </c>
      <c r="AJ1294">
        <v>0</v>
      </c>
      <c r="AK1294">
        <v>0</v>
      </c>
      <c r="AL1294">
        <v>0</v>
      </c>
      <c r="AM1294">
        <v>0</v>
      </c>
      <c r="AN1294">
        <v>0</v>
      </c>
      <c r="AO1294">
        <v>0</v>
      </c>
      <c r="AP1294" s="2">
        <v>42831</v>
      </c>
      <c r="AQ1294" t="s">
        <v>72</v>
      </c>
      <c r="AR1294" t="s">
        <v>72</v>
      </c>
      <c r="AS1294">
        <v>181</v>
      </c>
      <c r="AT1294" s="4">
        <v>42766</v>
      </c>
      <c r="AU1294" t="s">
        <v>73</v>
      </c>
      <c r="AV1294">
        <v>181</v>
      </c>
      <c r="AW1294" s="4">
        <v>42766</v>
      </c>
      <c r="BD1294">
        <v>0</v>
      </c>
      <c r="BN1294" t="s">
        <v>74</v>
      </c>
    </row>
    <row r="1295" spans="1:66">
      <c r="A1295">
        <v>101780</v>
      </c>
      <c r="B1295" t="s">
        <v>321</v>
      </c>
      <c r="C1295" s="1">
        <v>43300101</v>
      </c>
      <c r="D1295" t="s">
        <v>67</v>
      </c>
      <c r="H1295" t="str">
        <f t="shared" si="167"/>
        <v>00873670152</v>
      </c>
      <c r="I1295" t="str">
        <f t="shared" si="167"/>
        <v>00873670152</v>
      </c>
      <c r="K1295" t="str">
        <f>""</f>
        <v/>
      </c>
      <c r="M1295" t="s">
        <v>68</v>
      </c>
      <c r="N1295" t="str">
        <f t="shared" si="166"/>
        <v>FOR</v>
      </c>
      <c r="O1295" t="s">
        <v>69</v>
      </c>
      <c r="P1295" t="s">
        <v>75</v>
      </c>
      <c r="Q1295">
        <v>2016</v>
      </c>
      <c r="R1295" s="4">
        <v>42467</v>
      </c>
      <c r="S1295" s="2">
        <v>42479</v>
      </c>
      <c r="T1295" s="2">
        <v>42468</v>
      </c>
      <c r="U1295" s="4">
        <v>42528</v>
      </c>
      <c r="V1295" t="s">
        <v>71</v>
      </c>
      <c r="W1295" t="str">
        <f>"            91600266"</f>
        <v xml:space="preserve">            91600266</v>
      </c>
      <c r="X1295" s="1">
        <v>3635.6</v>
      </c>
      <c r="Y1295">
        <v>0</v>
      </c>
      <c r="Z1295" s="5">
        <v>2980</v>
      </c>
      <c r="AA1295" s="3">
        <v>253</v>
      </c>
      <c r="AB1295" s="5">
        <v>753940</v>
      </c>
      <c r="AC1295" s="1">
        <v>2980</v>
      </c>
      <c r="AD1295">
        <v>253</v>
      </c>
      <c r="AE1295" s="1">
        <v>753940</v>
      </c>
      <c r="AF1295">
        <v>0</v>
      </c>
      <c r="AJ1295">
        <v>0</v>
      </c>
      <c r="AK1295">
        <v>0</v>
      </c>
      <c r="AL1295">
        <v>0</v>
      </c>
      <c r="AM1295">
        <v>0</v>
      </c>
      <c r="AN1295">
        <v>0</v>
      </c>
      <c r="AO1295">
        <v>0</v>
      </c>
      <c r="AP1295" s="2">
        <v>42831</v>
      </c>
      <c r="AQ1295" t="s">
        <v>72</v>
      </c>
      <c r="AR1295" t="s">
        <v>72</v>
      </c>
      <c r="AS1295">
        <v>457</v>
      </c>
      <c r="AT1295" s="4">
        <v>42781</v>
      </c>
      <c r="AU1295" t="s">
        <v>73</v>
      </c>
      <c r="AV1295">
        <v>457</v>
      </c>
      <c r="AW1295" s="4">
        <v>42781</v>
      </c>
      <c r="BD1295">
        <v>0</v>
      </c>
      <c r="BN1295" t="s">
        <v>74</v>
      </c>
    </row>
    <row r="1296" spans="1:66">
      <c r="A1296">
        <v>101780</v>
      </c>
      <c r="B1296" t="s">
        <v>321</v>
      </c>
      <c r="C1296" s="1">
        <v>43300101</v>
      </c>
      <c r="D1296" t="s">
        <v>67</v>
      </c>
      <c r="H1296" t="str">
        <f t="shared" si="167"/>
        <v>00873670152</v>
      </c>
      <c r="I1296" t="str">
        <f t="shared" si="167"/>
        <v>00873670152</v>
      </c>
      <c r="K1296" t="str">
        <f>""</f>
        <v/>
      </c>
      <c r="M1296" t="s">
        <v>68</v>
      </c>
      <c r="N1296" t="str">
        <f t="shared" si="166"/>
        <v>FOR</v>
      </c>
      <c r="O1296" t="s">
        <v>69</v>
      </c>
      <c r="P1296" t="s">
        <v>75</v>
      </c>
      <c r="Q1296">
        <v>2016</v>
      </c>
      <c r="R1296" s="4">
        <v>42503</v>
      </c>
      <c r="S1296" s="2">
        <v>42506</v>
      </c>
      <c r="T1296" s="2">
        <v>42504</v>
      </c>
      <c r="U1296" s="4">
        <v>42564</v>
      </c>
      <c r="V1296" t="s">
        <v>71</v>
      </c>
      <c r="W1296" t="str">
        <f>"            91600341"</f>
        <v xml:space="preserve">            91600341</v>
      </c>
      <c r="X1296" s="1">
        <v>2908.48</v>
      </c>
      <c r="Y1296">
        <v>0</v>
      </c>
      <c r="Z1296" s="5">
        <v>2384</v>
      </c>
      <c r="AA1296" s="3">
        <v>231</v>
      </c>
      <c r="AB1296" s="5">
        <v>550704</v>
      </c>
      <c r="AC1296" s="1">
        <v>2384</v>
      </c>
      <c r="AD1296">
        <v>231</v>
      </c>
      <c r="AE1296" s="1">
        <v>550704</v>
      </c>
      <c r="AF1296">
        <v>524.48</v>
      </c>
      <c r="AJ1296">
        <v>0</v>
      </c>
      <c r="AK1296">
        <v>0</v>
      </c>
      <c r="AL1296">
        <v>0</v>
      </c>
      <c r="AM1296">
        <v>0</v>
      </c>
      <c r="AN1296">
        <v>0</v>
      </c>
      <c r="AO1296">
        <v>0</v>
      </c>
      <c r="AP1296" s="2">
        <v>42831</v>
      </c>
      <c r="AQ1296" t="s">
        <v>72</v>
      </c>
      <c r="AR1296" t="s">
        <v>72</v>
      </c>
      <c r="AS1296">
        <v>625</v>
      </c>
      <c r="AT1296" s="4">
        <v>42795</v>
      </c>
      <c r="AU1296" t="s">
        <v>73</v>
      </c>
      <c r="AV1296">
        <v>625</v>
      </c>
      <c r="AW1296" s="4">
        <v>42795</v>
      </c>
      <c r="BD1296">
        <v>524.48</v>
      </c>
      <c r="BN1296" t="s">
        <v>74</v>
      </c>
    </row>
    <row r="1297" spans="1:66">
      <c r="A1297">
        <v>101787</v>
      </c>
      <c r="B1297" t="s">
        <v>322</v>
      </c>
      <c r="C1297" s="1">
        <v>43300101</v>
      </c>
      <c r="D1297" t="s">
        <v>67</v>
      </c>
      <c r="H1297" t="str">
        <f>"09275090158"</f>
        <v>09275090158</v>
      </c>
      <c r="I1297" t="str">
        <f>"09275090158"</f>
        <v>09275090158</v>
      </c>
      <c r="K1297" t="str">
        <f>""</f>
        <v/>
      </c>
      <c r="M1297" t="s">
        <v>68</v>
      </c>
      <c r="N1297" t="str">
        <f t="shared" si="166"/>
        <v>FOR</v>
      </c>
      <c r="O1297" t="s">
        <v>69</v>
      </c>
      <c r="P1297" t="s">
        <v>70</v>
      </c>
      <c r="Q1297">
        <v>2016</v>
      </c>
      <c r="R1297" s="4">
        <v>42703</v>
      </c>
      <c r="S1297" s="2">
        <v>42705</v>
      </c>
      <c r="T1297" s="2">
        <v>42705</v>
      </c>
      <c r="U1297" s="4">
        <v>42765</v>
      </c>
      <c r="V1297" t="s">
        <v>71</v>
      </c>
      <c r="W1297" t="str">
        <f>"          7716026728"</f>
        <v xml:space="preserve">          7716026728</v>
      </c>
      <c r="X1297" s="1">
        <v>1317.6</v>
      </c>
      <c r="Y1297">
        <v>0</v>
      </c>
      <c r="Z1297" s="5">
        <v>1080</v>
      </c>
      <c r="AA1297" s="3">
        <v>9</v>
      </c>
      <c r="AB1297" s="5">
        <v>9720</v>
      </c>
      <c r="AC1297" s="1">
        <v>1080</v>
      </c>
      <c r="AD1297">
        <v>9</v>
      </c>
      <c r="AE1297" s="1">
        <v>9720</v>
      </c>
      <c r="AF1297">
        <v>0</v>
      </c>
      <c r="AJ1297">
        <v>0</v>
      </c>
      <c r="AK1297">
        <v>0</v>
      </c>
      <c r="AL1297">
        <v>0</v>
      </c>
      <c r="AM1297">
        <v>0</v>
      </c>
      <c r="AN1297">
        <v>0</v>
      </c>
      <c r="AO1297">
        <v>0</v>
      </c>
      <c r="AP1297" s="2">
        <v>42831</v>
      </c>
      <c r="AQ1297" t="s">
        <v>72</v>
      </c>
      <c r="AR1297" t="s">
        <v>72</v>
      </c>
      <c r="AS1297">
        <v>334</v>
      </c>
      <c r="AT1297" s="4">
        <v>42774</v>
      </c>
      <c r="AU1297" t="s">
        <v>73</v>
      </c>
      <c r="AV1297">
        <v>334</v>
      </c>
      <c r="AW1297" s="4">
        <v>42774</v>
      </c>
      <c r="BD1297">
        <v>0</v>
      </c>
      <c r="BN1297" t="s">
        <v>74</v>
      </c>
    </row>
    <row r="1298" spans="1:66">
      <c r="A1298">
        <v>101787</v>
      </c>
      <c r="B1298" t="s">
        <v>322</v>
      </c>
      <c r="C1298" s="1">
        <v>43300101</v>
      </c>
      <c r="D1298" t="s">
        <v>67</v>
      </c>
      <c r="H1298" t="str">
        <f>"09275090158"</f>
        <v>09275090158</v>
      </c>
      <c r="I1298" t="str">
        <f>"09275090158"</f>
        <v>09275090158</v>
      </c>
      <c r="K1298" t="str">
        <f>""</f>
        <v/>
      </c>
      <c r="M1298" t="s">
        <v>68</v>
      </c>
      <c r="N1298" t="str">
        <f t="shared" si="166"/>
        <v>FOR</v>
      </c>
      <c r="O1298" t="s">
        <v>69</v>
      </c>
      <c r="P1298" t="s">
        <v>70</v>
      </c>
      <c r="Q1298">
        <v>2016</v>
      </c>
      <c r="R1298" s="4">
        <v>42703</v>
      </c>
      <c r="S1298" s="2">
        <v>42705</v>
      </c>
      <c r="T1298" s="2">
        <v>42705</v>
      </c>
      <c r="U1298" s="4">
        <v>42765</v>
      </c>
      <c r="V1298" t="s">
        <v>71</v>
      </c>
      <c r="W1298" t="str">
        <f>"          7716026729"</f>
        <v xml:space="preserve">          7716026729</v>
      </c>
      <c r="X1298">
        <v>953.53</v>
      </c>
      <c r="Y1298">
        <v>0</v>
      </c>
      <c r="Z1298" s="5">
        <v>781.58</v>
      </c>
      <c r="AA1298" s="3">
        <v>9</v>
      </c>
      <c r="AB1298" s="5">
        <v>7034.22</v>
      </c>
      <c r="AC1298">
        <v>781.58</v>
      </c>
      <c r="AD1298">
        <v>9</v>
      </c>
      <c r="AE1298" s="1">
        <v>7034.22</v>
      </c>
      <c r="AF1298">
        <v>0</v>
      </c>
      <c r="AJ1298">
        <v>0</v>
      </c>
      <c r="AK1298">
        <v>0</v>
      </c>
      <c r="AL1298">
        <v>0</v>
      </c>
      <c r="AM1298">
        <v>0</v>
      </c>
      <c r="AN1298">
        <v>0</v>
      </c>
      <c r="AO1298">
        <v>0</v>
      </c>
      <c r="AP1298" s="2">
        <v>42831</v>
      </c>
      <c r="AQ1298" t="s">
        <v>72</v>
      </c>
      <c r="AR1298" t="s">
        <v>72</v>
      </c>
      <c r="AS1298">
        <v>334</v>
      </c>
      <c r="AT1298" s="4">
        <v>42774</v>
      </c>
      <c r="AU1298" t="s">
        <v>73</v>
      </c>
      <c r="AV1298">
        <v>334</v>
      </c>
      <c r="AW1298" s="4">
        <v>42774</v>
      </c>
      <c r="BD1298">
        <v>0</v>
      </c>
      <c r="BN1298" t="s">
        <v>74</v>
      </c>
    </row>
    <row r="1299" spans="1:66">
      <c r="A1299">
        <v>101789</v>
      </c>
      <c r="B1299" t="s">
        <v>323</v>
      </c>
      <c r="C1299" s="1">
        <v>43300101</v>
      </c>
      <c r="D1299" t="s">
        <v>67</v>
      </c>
      <c r="H1299" t="str">
        <f t="shared" ref="H1299:I1302" si="168">"01553270628"</f>
        <v>01553270628</v>
      </c>
      <c r="I1299" t="str">
        <f t="shared" si="168"/>
        <v>01553270628</v>
      </c>
      <c r="K1299" t="str">
        <f>""</f>
        <v/>
      </c>
      <c r="M1299" t="s">
        <v>68</v>
      </c>
      <c r="N1299" t="str">
        <f t="shared" si="166"/>
        <v>FOR</v>
      </c>
      <c r="O1299" t="s">
        <v>69</v>
      </c>
      <c r="P1299" t="s">
        <v>75</v>
      </c>
      <c r="Q1299">
        <v>2016</v>
      </c>
      <c r="R1299" s="4">
        <v>42599</v>
      </c>
      <c r="S1299" s="2">
        <v>42600</v>
      </c>
      <c r="T1299" s="2">
        <v>42599</v>
      </c>
      <c r="U1299" s="4">
        <v>42659</v>
      </c>
      <c r="V1299" t="s">
        <v>71</v>
      </c>
      <c r="W1299" t="str">
        <f>"          00010/2016"</f>
        <v xml:space="preserve">          00010/2016</v>
      </c>
      <c r="X1299">
        <v>543.99</v>
      </c>
      <c r="Y1299">
        <v>0</v>
      </c>
      <c r="Z1299" s="5">
        <v>445.89</v>
      </c>
      <c r="AA1299" s="3">
        <v>113</v>
      </c>
      <c r="AB1299" s="5">
        <v>50385.57</v>
      </c>
      <c r="AC1299">
        <v>445.89</v>
      </c>
      <c r="AD1299">
        <v>113</v>
      </c>
      <c r="AE1299" s="1">
        <v>50385.57</v>
      </c>
      <c r="AF1299">
        <v>98.1</v>
      </c>
      <c r="AJ1299">
        <v>0</v>
      </c>
      <c r="AK1299">
        <v>0</v>
      </c>
      <c r="AL1299">
        <v>0</v>
      </c>
      <c r="AM1299">
        <v>0</v>
      </c>
      <c r="AN1299">
        <v>0</v>
      </c>
      <c r="AO1299">
        <v>0</v>
      </c>
      <c r="AP1299" s="2">
        <v>42831</v>
      </c>
      <c r="AQ1299" t="s">
        <v>72</v>
      </c>
      <c r="AR1299" t="s">
        <v>72</v>
      </c>
      <c r="AS1299">
        <v>292</v>
      </c>
      <c r="AT1299" s="4">
        <v>42772</v>
      </c>
      <c r="AU1299" t="s">
        <v>73</v>
      </c>
      <c r="AV1299">
        <v>292</v>
      </c>
      <c r="AW1299" s="4">
        <v>42772</v>
      </c>
      <c r="BC1299">
        <v>98.1</v>
      </c>
      <c r="BD1299">
        <v>0</v>
      </c>
      <c r="BN1299" t="s">
        <v>74</v>
      </c>
    </row>
    <row r="1300" spans="1:66">
      <c r="A1300">
        <v>101789</v>
      </c>
      <c r="B1300" t="s">
        <v>323</v>
      </c>
      <c r="C1300" s="1">
        <v>43300101</v>
      </c>
      <c r="D1300" t="s">
        <v>67</v>
      </c>
      <c r="H1300" t="str">
        <f t="shared" si="168"/>
        <v>01553270628</v>
      </c>
      <c r="I1300" t="str">
        <f t="shared" si="168"/>
        <v>01553270628</v>
      </c>
      <c r="K1300" t="str">
        <f>""</f>
        <v/>
      </c>
      <c r="M1300" t="s">
        <v>68</v>
      </c>
      <c r="N1300" t="str">
        <f t="shared" si="166"/>
        <v>FOR</v>
      </c>
      <c r="O1300" t="s">
        <v>69</v>
      </c>
      <c r="P1300" t="s">
        <v>75</v>
      </c>
      <c r="Q1300">
        <v>2016</v>
      </c>
      <c r="R1300" s="4">
        <v>42605</v>
      </c>
      <c r="S1300" s="2">
        <v>42612</v>
      </c>
      <c r="T1300" s="2">
        <v>42605</v>
      </c>
      <c r="U1300" s="4">
        <v>42665</v>
      </c>
      <c r="V1300" t="s">
        <v>71</v>
      </c>
      <c r="W1300" t="str">
        <f>"          00011/2016"</f>
        <v xml:space="preserve">          00011/2016</v>
      </c>
      <c r="X1300">
        <v>29.9</v>
      </c>
      <c r="Y1300">
        <v>0</v>
      </c>
      <c r="Z1300" s="5">
        <v>24.51</v>
      </c>
      <c r="AA1300" s="3">
        <v>107</v>
      </c>
      <c r="AB1300" s="5">
        <v>2622.57</v>
      </c>
      <c r="AC1300">
        <v>24.51</v>
      </c>
      <c r="AD1300">
        <v>107</v>
      </c>
      <c r="AE1300" s="1">
        <v>2622.57</v>
      </c>
      <c r="AF1300">
        <v>5.39</v>
      </c>
      <c r="AJ1300">
        <v>0</v>
      </c>
      <c r="AK1300">
        <v>0</v>
      </c>
      <c r="AL1300">
        <v>0</v>
      </c>
      <c r="AM1300">
        <v>0</v>
      </c>
      <c r="AN1300">
        <v>0</v>
      </c>
      <c r="AO1300">
        <v>0</v>
      </c>
      <c r="AP1300" s="2">
        <v>42831</v>
      </c>
      <c r="AQ1300" t="s">
        <v>72</v>
      </c>
      <c r="AR1300" t="s">
        <v>72</v>
      </c>
      <c r="AS1300">
        <v>292</v>
      </c>
      <c r="AT1300" s="4">
        <v>42772</v>
      </c>
      <c r="AU1300" t="s">
        <v>73</v>
      </c>
      <c r="AV1300">
        <v>292</v>
      </c>
      <c r="AW1300" s="4">
        <v>42772</v>
      </c>
      <c r="BC1300">
        <v>5.39</v>
      </c>
      <c r="BD1300">
        <v>0</v>
      </c>
      <c r="BN1300" t="s">
        <v>74</v>
      </c>
    </row>
    <row r="1301" spans="1:66">
      <c r="A1301">
        <v>101789</v>
      </c>
      <c r="B1301" t="s">
        <v>323</v>
      </c>
      <c r="C1301" s="1">
        <v>43300101</v>
      </c>
      <c r="D1301" t="s">
        <v>67</v>
      </c>
      <c r="H1301" t="str">
        <f t="shared" si="168"/>
        <v>01553270628</v>
      </c>
      <c r="I1301" t="str">
        <f t="shared" si="168"/>
        <v>01553270628</v>
      </c>
      <c r="K1301" t="str">
        <f>""</f>
        <v/>
      </c>
      <c r="M1301" t="s">
        <v>68</v>
      </c>
      <c r="N1301" t="str">
        <f t="shared" si="166"/>
        <v>FOR</v>
      </c>
      <c r="O1301" t="s">
        <v>69</v>
      </c>
      <c r="P1301" t="s">
        <v>75</v>
      </c>
      <c r="Q1301">
        <v>2016</v>
      </c>
      <c r="R1301" s="4">
        <v>42628</v>
      </c>
      <c r="S1301" s="2">
        <v>42629</v>
      </c>
      <c r="T1301" s="2">
        <v>42628</v>
      </c>
      <c r="U1301" s="4">
        <v>42688</v>
      </c>
      <c r="V1301" t="s">
        <v>71</v>
      </c>
      <c r="W1301" t="str">
        <f>"          00012/2016"</f>
        <v xml:space="preserve">          00012/2016</v>
      </c>
      <c r="X1301">
        <v>24.4</v>
      </c>
      <c r="Y1301">
        <v>0</v>
      </c>
      <c r="Z1301" s="5">
        <v>20</v>
      </c>
      <c r="AA1301" s="3">
        <v>84</v>
      </c>
      <c r="AB1301" s="5">
        <v>1680</v>
      </c>
      <c r="AC1301">
        <v>20</v>
      </c>
      <c r="AD1301">
        <v>84</v>
      </c>
      <c r="AE1301" s="1">
        <v>1680</v>
      </c>
      <c r="AF1301">
        <v>4.4000000000000004</v>
      </c>
      <c r="AJ1301">
        <v>0</v>
      </c>
      <c r="AK1301">
        <v>0</v>
      </c>
      <c r="AL1301">
        <v>0</v>
      </c>
      <c r="AM1301">
        <v>0</v>
      </c>
      <c r="AN1301">
        <v>0</v>
      </c>
      <c r="AO1301">
        <v>0</v>
      </c>
      <c r="AP1301" s="2">
        <v>42831</v>
      </c>
      <c r="AQ1301" t="s">
        <v>72</v>
      </c>
      <c r="AR1301" t="s">
        <v>72</v>
      </c>
      <c r="AS1301">
        <v>292</v>
      </c>
      <c r="AT1301" s="4">
        <v>42772</v>
      </c>
      <c r="AU1301" t="s">
        <v>73</v>
      </c>
      <c r="AV1301">
        <v>292</v>
      </c>
      <c r="AW1301" s="4">
        <v>42772</v>
      </c>
      <c r="BB1301">
        <v>4.4000000000000004</v>
      </c>
      <c r="BD1301">
        <v>0</v>
      </c>
      <c r="BN1301" t="s">
        <v>74</v>
      </c>
    </row>
    <row r="1302" spans="1:66">
      <c r="A1302">
        <v>101789</v>
      </c>
      <c r="B1302" t="s">
        <v>323</v>
      </c>
      <c r="C1302" s="1">
        <v>43300101</v>
      </c>
      <c r="D1302" t="s">
        <v>67</v>
      </c>
      <c r="H1302" t="str">
        <f t="shared" si="168"/>
        <v>01553270628</v>
      </c>
      <c r="I1302" t="str">
        <f t="shared" si="168"/>
        <v>01553270628</v>
      </c>
      <c r="K1302" t="str">
        <f>""</f>
        <v/>
      </c>
      <c r="M1302" t="s">
        <v>68</v>
      </c>
      <c r="N1302" t="str">
        <f t="shared" si="166"/>
        <v>FOR</v>
      </c>
      <c r="O1302" t="s">
        <v>69</v>
      </c>
      <c r="P1302" t="s">
        <v>75</v>
      </c>
      <c r="Q1302">
        <v>2016</v>
      </c>
      <c r="R1302" s="4">
        <v>42661</v>
      </c>
      <c r="S1302" s="2">
        <v>42661</v>
      </c>
      <c r="T1302" s="2">
        <v>42661</v>
      </c>
      <c r="U1302" s="4">
        <v>42721</v>
      </c>
      <c r="V1302" t="s">
        <v>71</v>
      </c>
      <c r="W1302" t="str">
        <f>"          00013/2016"</f>
        <v xml:space="preserve">          00013/2016</v>
      </c>
      <c r="X1302">
        <v>596.02</v>
      </c>
      <c r="Y1302">
        <v>0</v>
      </c>
      <c r="Z1302" s="5">
        <v>488.54</v>
      </c>
      <c r="AA1302" s="3">
        <v>51</v>
      </c>
      <c r="AB1302" s="5">
        <v>24915.54</v>
      </c>
      <c r="AC1302">
        <v>488.54</v>
      </c>
      <c r="AD1302">
        <v>51</v>
      </c>
      <c r="AE1302" s="1">
        <v>24915.54</v>
      </c>
      <c r="AF1302">
        <v>107.48</v>
      </c>
      <c r="AJ1302">
        <v>0</v>
      </c>
      <c r="AK1302">
        <v>0</v>
      </c>
      <c r="AL1302">
        <v>0</v>
      </c>
      <c r="AM1302">
        <v>0</v>
      </c>
      <c r="AN1302">
        <v>0</v>
      </c>
      <c r="AO1302">
        <v>0</v>
      </c>
      <c r="AP1302" s="2">
        <v>42831</v>
      </c>
      <c r="AQ1302" t="s">
        <v>72</v>
      </c>
      <c r="AR1302" t="s">
        <v>72</v>
      </c>
      <c r="AS1302">
        <v>292</v>
      </c>
      <c r="AT1302" s="4">
        <v>42772</v>
      </c>
      <c r="AU1302" t="s">
        <v>73</v>
      </c>
      <c r="AV1302">
        <v>292</v>
      </c>
      <c r="AW1302" s="4">
        <v>42772</v>
      </c>
      <c r="BA1302">
        <v>107.48</v>
      </c>
      <c r="BD1302">
        <v>0</v>
      </c>
      <c r="BN1302" t="s">
        <v>74</v>
      </c>
    </row>
    <row r="1303" spans="1:66">
      <c r="A1303">
        <v>101802</v>
      </c>
      <c r="B1303" t="s">
        <v>324</v>
      </c>
      <c r="C1303" s="1">
        <v>43300101</v>
      </c>
      <c r="D1303" t="s">
        <v>67</v>
      </c>
      <c r="H1303" t="str">
        <f t="shared" ref="H1303:I1306" si="169">"01433030705"</f>
        <v>01433030705</v>
      </c>
      <c r="I1303" t="str">
        <f t="shared" si="169"/>
        <v>01433030705</v>
      </c>
      <c r="K1303" t="str">
        <f>""</f>
        <v/>
      </c>
      <c r="M1303" t="s">
        <v>68</v>
      </c>
      <c r="N1303" t="str">
        <f t="shared" si="166"/>
        <v>FOR</v>
      </c>
      <c r="O1303" t="s">
        <v>69</v>
      </c>
      <c r="P1303" t="s">
        <v>75</v>
      </c>
      <c r="Q1303">
        <v>2016</v>
      </c>
      <c r="R1303" s="4">
        <v>42619</v>
      </c>
      <c r="S1303" s="2">
        <v>42625</v>
      </c>
      <c r="T1303" s="2">
        <v>42622</v>
      </c>
      <c r="U1303" s="4">
        <v>42682</v>
      </c>
      <c r="V1303" t="s">
        <v>71</v>
      </c>
      <c r="W1303" t="str">
        <f>"              316/07"</f>
        <v xml:space="preserve">              316/07</v>
      </c>
      <c r="X1303" s="1">
        <v>1037</v>
      </c>
      <c r="Y1303">
        <v>0</v>
      </c>
      <c r="Z1303" s="5">
        <v>850</v>
      </c>
      <c r="AA1303" s="3">
        <v>86</v>
      </c>
      <c r="AB1303" s="5">
        <v>73100</v>
      </c>
      <c r="AC1303">
        <v>850</v>
      </c>
      <c r="AD1303">
        <v>86</v>
      </c>
      <c r="AE1303" s="1">
        <v>73100</v>
      </c>
      <c r="AF1303">
        <v>0</v>
      </c>
      <c r="AJ1303">
        <v>0</v>
      </c>
      <c r="AK1303">
        <v>0</v>
      </c>
      <c r="AL1303">
        <v>0</v>
      </c>
      <c r="AM1303">
        <v>0</v>
      </c>
      <c r="AN1303">
        <v>0</v>
      </c>
      <c r="AO1303">
        <v>0</v>
      </c>
      <c r="AP1303" s="2">
        <v>42831</v>
      </c>
      <c r="AQ1303" t="s">
        <v>72</v>
      </c>
      <c r="AR1303" t="s">
        <v>72</v>
      </c>
      <c r="AS1303">
        <v>273</v>
      </c>
      <c r="AT1303" s="4">
        <v>42768</v>
      </c>
      <c r="AU1303" t="s">
        <v>73</v>
      </c>
      <c r="AV1303">
        <v>273</v>
      </c>
      <c r="AW1303" s="4">
        <v>42768</v>
      </c>
      <c r="BD1303">
        <v>0</v>
      </c>
      <c r="BN1303" t="s">
        <v>74</v>
      </c>
    </row>
    <row r="1304" spans="1:66">
      <c r="A1304">
        <v>101802</v>
      </c>
      <c r="B1304" t="s">
        <v>324</v>
      </c>
      <c r="C1304" s="1">
        <v>43300101</v>
      </c>
      <c r="D1304" t="s">
        <v>67</v>
      </c>
      <c r="H1304" t="str">
        <f t="shared" si="169"/>
        <v>01433030705</v>
      </c>
      <c r="I1304" t="str">
        <f t="shared" si="169"/>
        <v>01433030705</v>
      </c>
      <c r="K1304" t="str">
        <f>""</f>
        <v/>
      </c>
      <c r="M1304" t="s">
        <v>68</v>
      </c>
      <c r="N1304" t="str">
        <f t="shared" si="166"/>
        <v>FOR</v>
      </c>
      <c r="O1304" t="s">
        <v>69</v>
      </c>
      <c r="P1304" t="s">
        <v>75</v>
      </c>
      <c r="Q1304">
        <v>2016</v>
      </c>
      <c r="R1304" s="4">
        <v>42657</v>
      </c>
      <c r="S1304" s="2">
        <v>42670</v>
      </c>
      <c r="T1304" s="2">
        <v>42664</v>
      </c>
      <c r="U1304" s="4">
        <v>42724</v>
      </c>
      <c r="V1304" t="s">
        <v>71</v>
      </c>
      <c r="W1304" t="str">
        <f>"              370/07"</f>
        <v xml:space="preserve">              370/07</v>
      </c>
      <c r="X1304">
        <v>41.5</v>
      </c>
      <c r="Y1304">
        <v>0</v>
      </c>
      <c r="Z1304" s="5">
        <v>34.020000000000003</v>
      </c>
      <c r="AA1304" s="3">
        <v>48</v>
      </c>
      <c r="AB1304" s="5">
        <v>1632.96</v>
      </c>
      <c r="AC1304">
        <v>34.020000000000003</v>
      </c>
      <c r="AD1304">
        <v>48</v>
      </c>
      <c r="AE1304" s="1">
        <v>1632.96</v>
      </c>
      <c r="AF1304">
        <v>7.48</v>
      </c>
      <c r="AJ1304">
        <v>0</v>
      </c>
      <c r="AK1304">
        <v>0</v>
      </c>
      <c r="AL1304">
        <v>0</v>
      </c>
      <c r="AM1304">
        <v>0</v>
      </c>
      <c r="AN1304">
        <v>0</v>
      </c>
      <c r="AO1304">
        <v>0</v>
      </c>
      <c r="AP1304" s="2">
        <v>42831</v>
      </c>
      <c r="AQ1304" t="s">
        <v>72</v>
      </c>
      <c r="AR1304" t="s">
        <v>72</v>
      </c>
      <c r="AS1304">
        <v>292</v>
      </c>
      <c r="AT1304" s="4">
        <v>42772</v>
      </c>
      <c r="AU1304" t="s">
        <v>73</v>
      </c>
      <c r="AV1304">
        <v>292</v>
      </c>
      <c r="AW1304" s="4">
        <v>42772</v>
      </c>
      <c r="BA1304">
        <v>7.48</v>
      </c>
      <c r="BD1304">
        <v>0</v>
      </c>
      <c r="BN1304" t="s">
        <v>74</v>
      </c>
    </row>
    <row r="1305" spans="1:66">
      <c r="A1305">
        <v>101802</v>
      </c>
      <c r="B1305" t="s">
        <v>324</v>
      </c>
      <c r="C1305" s="1">
        <v>43300101</v>
      </c>
      <c r="D1305" t="s">
        <v>67</v>
      </c>
      <c r="H1305" t="str">
        <f t="shared" si="169"/>
        <v>01433030705</v>
      </c>
      <c r="I1305" t="str">
        <f t="shared" si="169"/>
        <v>01433030705</v>
      </c>
      <c r="K1305" t="str">
        <f>""</f>
        <v/>
      </c>
      <c r="M1305" t="s">
        <v>68</v>
      </c>
      <c r="N1305" t="str">
        <f t="shared" si="166"/>
        <v>FOR</v>
      </c>
      <c r="O1305" t="s">
        <v>69</v>
      </c>
      <c r="P1305" t="s">
        <v>75</v>
      </c>
      <c r="Q1305">
        <v>2016</v>
      </c>
      <c r="R1305" s="4">
        <v>42664</v>
      </c>
      <c r="S1305" s="2">
        <v>42671</v>
      </c>
      <c r="T1305" s="2">
        <v>42670</v>
      </c>
      <c r="U1305" s="4">
        <v>42730</v>
      </c>
      <c r="V1305" t="s">
        <v>71</v>
      </c>
      <c r="W1305" t="str">
        <f>"              385/07"</f>
        <v xml:space="preserve">              385/07</v>
      </c>
      <c r="X1305">
        <v>846.68</v>
      </c>
      <c r="Y1305">
        <v>0</v>
      </c>
      <c r="Z1305" s="5">
        <v>694</v>
      </c>
      <c r="AA1305" s="3">
        <v>63</v>
      </c>
      <c r="AB1305" s="5">
        <v>43722</v>
      </c>
      <c r="AC1305">
        <v>694</v>
      </c>
      <c r="AD1305">
        <v>63</v>
      </c>
      <c r="AE1305" s="1">
        <v>43722</v>
      </c>
      <c r="AF1305">
        <v>0</v>
      </c>
      <c r="AJ1305">
        <v>0</v>
      </c>
      <c r="AK1305">
        <v>0</v>
      </c>
      <c r="AL1305">
        <v>0</v>
      </c>
      <c r="AM1305">
        <v>0</v>
      </c>
      <c r="AN1305">
        <v>0</v>
      </c>
      <c r="AO1305">
        <v>0</v>
      </c>
      <c r="AP1305" s="2">
        <v>42831</v>
      </c>
      <c r="AQ1305" t="s">
        <v>72</v>
      </c>
      <c r="AR1305" t="s">
        <v>72</v>
      </c>
      <c r="AS1305">
        <v>615</v>
      </c>
      <c r="AT1305" s="4">
        <v>42793</v>
      </c>
      <c r="AU1305" t="s">
        <v>73</v>
      </c>
      <c r="AV1305">
        <v>615</v>
      </c>
      <c r="AW1305" s="4">
        <v>42793</v>
      </c>
      <c r="BD1305">
        <v>0</v>
      </c>
      <c r="BN1305" t="s">
        <v>74</v>
      </c>
    </row>
    <row r="1306" spans="1:66">
      <c r="A1306">
        <v>101802</v>
      </c>
      <c r="B1306" t="s">
        <v>324</v>
      </c>
      <c r="C1306" s="1">
        <v>43300101</v>
      </c>
      <c r="D1306" t="s">
        <v>67</v>
      </c>
      <c r="H1306" t="str">
        <f t="shared" si="169"/>
        <v>01433030705</v>
      </c>
      <c r="I1306" t="str">
        <f t="shared" si="169"/>
        <v>01433030705</v>
      </c>
      <c r="K1306" t="str">
        <f>""</f>
        <v/>
      </c>
      <c r="M1306" t="s">
        <v>68</v>
      </c>
      <c r="N1306" t="str">
        <f t="shared" si="166"/>
        <v>FOR</v>
      </c>
      <c r="O1306" t="s">
        <v>69</v>
      </c>
      <c r="P1306" t="s">
        <v>75</v>
      </c>
      <c r="Q1306">
        <v>2016</v>
      </c>
      <c r="R1306" s="4">
        <v>42698</v>
      </c>
      <c r="S1306" s="2">
        <v>42704</v>
      </c>
      <c r="T1306" s="2">
        <v>42703</v>
      </c>
      <c r="U1306" s="4">
        <v>42763</v>
      </c>
      <c r="V1306" t="s">
        <v>71</v>
      </c>
      <c r="W1306" t="str">
        <f>"              438/07"</f>
        <v xml:space="preserve">              438/07</v>
      </c>
      <c r="X1306" s="1">
        <v>1212.68</v>
      </c>
      <c r="Y1306">
        <v>0</v>
      </c>
      <c r="Z1306" s="5">
        <v>994</v>
      </c>
      <c r="AA1306" s="3">
        <v>30</v>
      </c>
      <c r="AB1306" s="5">
        <v>29820</v>
      </c>
      <c r="AC1306">
        <v>994</v>
      </c>
      <c r="AD1306">
        <v>30</v>
      </c>
      <c r="AE1306" s="1">
        <v>29820</v>
      </c>
      <c r="AF1306">
        <v>0</v>
      </c>
      <c r="AJ1306">
        <v>0</v>
      </c>
      <c r="AK1306">
        <v>0</v>
      </c>
      <c r="AL1306">
        <v>0</v>
      </c>
      <c r="AM1306">
        <v>0</v>
      </c>
      <c r="AN1306">
        <v>0</v>
      </c>
      <c r="AO1306">
        <v>0</v>
      </c>
      <c r="AP1306" s="2">
        <v>42831</v>
      </c>
      <c r="AQ1306" t="s">
        <v>72</v>
      </c>
      <c r="AR1306" t="s">
        <v>72</v>
      </c>
      <c r="AS1306">
        <v>615</v>
      </c>
      <c r="AT1306" s="4">
        <v>42793</v>
      </c>
      <c r="AU1306" t="s">
        <v>73</v>
      </c>
      <c r="AV1306">
        <v>615</v>
      </c>
      <c r="AW1306" s="4">
        <v>42793</v>
      </c>
      <c r="BD1306">
        <v>0</v>
      </c>
      <c r="BN1306" t="s">
        <v>74</v>
      </c>
    </row>
    <row r="1307" spans="1:66">
      <c r="A1307">
        <v>101808</v>
      </c>
      <c r="B1307" t="s">
        <v>325</v>
      </c>
      <c r="C1307" s="1">
        <v>43300101</v>
      </c>
      <c r="D1307" t="s">
        <v>67</v>
      </c>
      <c r="H1307" t="str">
        <f>"00248660599"</f>
        <v>00248660599</v>
      </c>
      <c r="I1307" t="str">
        <f>"02405380102"</f>
        <v>02405380102</v>
      </c>
      <c r="K1307" t="str">
        <f>""</f>
        <v/>
      </c>
      <c r="M1307" t="s">
        <v>68</v>
      </c>
      <c r="N1307" t="str">
        <f t="shared" si="166"/>
        <v>FOR</v>
      </c>
      <c r="O1307" t="s">
        <v>69</v>
      </c>
      <c r="P1307" t="s">
        <v>75</v>
      </c>
      <c r="Q1307">
        <v>2016</v>
      </c>
      <c r="R1307" s="4">
        <v>42628</v>
      </c>
      <c r="S1307" s="2">
        <v>42634</v>
      </c>
      <c r="T1307" s="2">
        <v>42629</v>
      </c>
      <c r="U1307" s="4">
        <v>42689</v>
      </c>
      <c r="V1307" t="s">
        <v>71</v>
      </c>
      <c r="W1307" t="str">
        <f>"           16/E05336"</f>
        <v xml:space="preserve">           16/E05336</v>
      </c>
      <c r="X1307">
        <v>886.55</v>
      </c>
      <c r="Y1307">
        <v>0</v>
      </c>
      <c r="Z1307" s="5">
        <v>726.68</v>
      </c>
      <c r="AA1307" s="3">
        <v>106</v>
      </c>
      <c r="AB1307" s="5">
        <v>77028.08</v>
      </c>
      <c r="AC1307">
        <v>726.68</v>
      </c>
      <c r="AD1307">
        <v>106</v>
      </c>
      <c r="AE1307" s="1">
        <v>77028.08</v>
      </c>
      <c r="AF1307">
        <v>159.87</v>
      </c>
      <c r="AJ1307">
        <v>0</v>
      </c>
      <c r="AK1307">
        <v>0</v>
      </c>
      <c r="AL1307">
        <v>0</v>
      </c>
      <c r="AM1307">
        <v>0</v>
      </c>
      <c r="AN1307">
        <v>0</v>
      </c>
      <c r="AO1307">
        <v>0</v>
      </c>
      <c r="AP1307" s="2">
        <v>42831</v>
      </c>
      <c r="AQ1307" t="s">
        <v>72</v>
      </c>
      <c r="AR1307" t="s">
        <v>72</v>
      </c>
      <c r="AS1307">
        <v>659</v>
      </c>
      <c r="AT1307" s="4">
        <v>42795</v>
      </c>
      <c r="AU1307" t="s">
        <v>73</v>
      </c>
      <c r="AV1307">
        <v>659</v>
      </c>
      <c r="AW1307" s="4">
        <v>42795</v>
      </c>
      <c r="BB1307">
        <v>159.87</v>
      </c>
      <c r="BD1307">
        <v>0</v>
      </c>
      <c r="BN1307" t="s">
        <v>74</v>
      </c>
    </row>
    <row r="1308" spans="1:66">
      <c r="A1308">
        <v>101808</v>
      </c>
      <c r="B1308" t="s">
        <v>325</v>
      </c>
      <c r="C1308" s="1">
        <v>43300101</v>
      </c>
      <c r="D1308" t="s">
        <v>67</v>
      </c>
      <c r="H1308" t="str">
        <f>"00248660599"</f>
        <v>00248660599</v>
      </c>
      <c r="I1308" t="str">
        <f>"02405380102"</f>
        <v>02405380102</v>
      </c>
      <c r="K1308" t="str">
        <f>""</f>
        <v/>
      </c>
      <c r="M1308" t="s">
        <v>68</v>
      </c>
      <c r="N1308" t="str">
        <f t="shared" si="166"/>
        <v>FOR</v>
      </c>
      <c r="O1308" t="s">
        <v>69</v>
      </c>
      <c r="P1308" t="s">
        <v>75</v>
      </c>
      <c r="Q1308">
        <v>2016</v>
      </c>
      <c r="R1308" s="4">
        <v>42657</v>
      </c>
      <c r="S1308" s="2">
        <v>42661</v>
      </c>
      <c r="T1308" s="2">
        <v>42660</v>
      </c>
      <c r="U1308" s="4">
        <v>42720</v>
      </c>
      <c r="V1308" t="s">
        <v>71</v>
      </c>
      <c r="W1308" t="str">
        <f>"           16/E06039"</f>
        <v xml:space="preserve">           16/E06039</v>
      </c>
      <c r="X1308" s="1">
        <v>5002.34</v>
      </c>
      <c r="Y1308">
        <v>0</v>
      </c>
      <c r="Z1308" s="5">
        <v>4100.28</v>
      </c>
      <c r="AA1308" s="3">
        <v>75</v>
      </c>
      <c r="AB1308" s="5">
        <v>307521</v>
      </c>
      <c r="AC1308" s="1">
        <v>4100.28</v>
      </c>
      <c r="AD1308">
        <v>75</v>
      </c>
      <c r="AE1308" s="1">
        <v>307521</v>
      </c>
      <c r="AF1308">
        <v>902.06</v>
      </c>
      <c r="AJ1308">
        <v>0</v>
      </c>
      <c r="AK1308">
        <v>0</v>
      </c>
      <c r="AL1308">
        <v>0</v>
      </c>
      <c r="AM1308">
        <v>0</v>
      </c>
      <c r="AN1308">
        <v>0</v>
      </c>
      <c r="AO1308">
        <v>0</v>
      </c>
      <c r="AP1308" s="2">
        <v>42831</v>
      </c>
      <c r="AQ1308" t="s">
        <v>72</v>
      </c>
      <c r="AR1308" t="s">
        <v>72</v>
      </c>
      <c r="AS1308">
        <v>659</v>
      </c>
      <c r="AT1308" s="4">
        <v>42795</v>
      </c>
      <c r="AU1308" t="s">
        <v>73</v>
      </c>
      <c r="AV1308">
        <v>659</v>
      </c>
      <c r="AW1308" s="4">
        <v>42795</v>
      </c>
      <c r="BA1308">
        <v>902.06</v>
      </c>
      <c r="BD1308">
        <v>0</v>
      </c>
      <c r="BN1308" t="s">
        <v>74</v>
      </c>
    </row>
    <row r="1309" spans="1:66">
      <c r="A1309">
        <v>101808</v>
      </c>
      <c r="B1309" t="s">
        <v>325</v>
      </c>
      <c r="C1309" s="1">
        <v>43300101</v>
      </c>
      <c r="D1309" t="s">
        <v>67</v>
      </c>
      <c r="H1309" t="str">
        <f>"00248660599"</f>
        <v>00248660599</v>
      </c>
      <c r="I1309" t="str">
        <f>"02405380102"</f>
        <v>02405380102</v>
      </c>
      <c r="K1309" t="str">
        <f>""</f>
        <v/>
      </c>
      <c r="M1309" t="s">
        <v>68</v>
      </c>
      <c r="N1309" t="str">
        <f t="shared" si="166"/>
        <v>FOR</v>
      </c>
      <c r="O1309" t="s">
        <v>69</v>
      </c>
      <c r="P1309" t="s">
        <v>75</v>
      </c>
      <c r="Q1309">
        <v>2016</v>
      </c>
      <c r="R1309" s="4">
        <v>42662</v>
      </c>
      <c r="S1309" s="2">
        <v>42669</v>
      </c>
      <c r="T1309" s="2">
        <v>42663</v>
      </c>
      <c r="U1309" s="4">
        <v>42723</v>
      </c>
      <c r="V1309" t="s">
        <v>71</v>
      </c>
      <c r="W1309" t="str">
        <f>"           16/E06107"</f>
        <v xml:space="preserve">           16/E06107</v>
      </c>
      <c r="X1309">
        <v>533.04</v>
      </c>
      <c r="Y1309">
        <v>0</v>
      </c>
      <c r="Z1309" s="5">
        <v>436.92</v>
      </c>
      <c r="AA1309" s="3">
        <v>72</v>
      </c>
      <c r="AB1309" s="5">
        <v>31458.240000000002</v>
      </c>
      <c r="AC1309">
        <v>436.92</v>
      </c>
      <c r="AD1309">
        <v>72</v>
      </c>
      <c r="AE1309" s="1">
        <v>31458.240000000002</v>
      </c>
      <c r="AF1309">
        <v>96.12</v>
      </c>
      <c r="AJ1309">
        <v>0</v>
      </c>
      <c r="AK1309">
        <v>0</v>
      </c>
      <c r="AL1309">
        <v>0</v>
      </c>
      <c r="AM1309">
        <v>0</v>
      </c>
      <c r="AN1309">
        <v>0</v>
      </c>
      <c r="AO1309">
        <v>0</v>
      </c>
      <c r="AP1309" s="2">
        <v>42831</v>
      </c>
      <c r="AQ1309" t="s">
        <v>72</v>
      </c>
      <c r="AR1309" t="s">
        <v>72</v>
      </c>
      <c r="AS1309">
        <v>659</v>
      </c>
      <c r="AT1309" s="4">
        <v>42795</v>
      </c>
      <c r="AU1309" t="s">
        <v>73</v>
      </c>
      <c r="AV1309">
        <v>659</v>
      </c>
      <c r="AW1309" s="4">
        <v>42795</v>
      </c>
      <c r="BA1309">
        <v>96.12</v>
      </c>
      <c r="BD1309">
        <v>0</v>
      </c>
      <c r="BN1309" t="s">
        <v>74</v>
      </c>
    </row>
    <row r="1310" spans="1:66">
      <c r="A1310">
        <v>101809</v>
      </c>
      <c r="B1310" t="s">
        <v>326</v>
      </c>
      <c r="C1310" s="1">
        <v>43300101</v>
      </c>
      <c r="D1310" t="s">
        <v>67</v>
      </c>
      <c r="H1310" t="str">
        <f>"00967720285"</f>
        <v>00967720285</v>
      </c>
      <c r="I1310" t="str">
        <f>"05724831002"</f>
        <v>05724831002</v>
      </c>
      <c r="K1310" t="str">
        <f>""</f>
        <v/>
      </c>
      <c r="M1310" t="s">
        <v>68</v>
      </c>
      <c r="N1310" t="str">
        <f t="shared" si="166"/>
        <v>FOR</v>
      </c>
      <c r="O1310" t="s">
        <v>69</v>
      </c>
      <c r="P1310" t="s">
        <v>75</v>
      </c>
      <c r="Q1310">
        <v>2016</v>
      </c>
      <c r="R1310" s="4">
        <v>42551</v>
      </c>
      <c r="S1310" s="2">
        <v>42562</v>
      </c>
      <c r="T1310" s="2">
        <v>42559</v>
      </c>
      <c r="U1310" s="4">
        <v>42619</v>
      </c>
      <c r="V1310" t="s">
        <v>71</v>
      </c>
      <c r="W1310" t="str">
        <f>"          2016902218"</f>
        <v xml:space="preserve">          2016902218</v>
      </c>
      <c r="X1310" s="1">
        <v>6503.26</v>
      </c>
      <c r="Y1310">
        <v>0</v>
      </c>
      <c r="Z1310" s="5">
        <v>5330.54</v>
      </c>
      <c r="AA1310" s="3">
        <v>149</v>
      </c>
      <c r="AB1310" s="5">
        <v>794250.46</v>
      </c>
      <c r="AC1310" s="1">
        <v>5330.54</v>
      </c>
      <c r="AD1310">
        <v>149</v>
      </c>
      <c r="AE1310" s="1">
        <v>794250.46</v>
      </c>
      <c r="AF1310">
        <v>0</v>
      </c>
      <c r="AJ1310">
        <v>0</v>
      </c>
      <c r="AK1310">
        <v>0</v>
      </c>
      <c r="AL1310">
        <v>0</v>
      </c>
      <c r="AM1310">
        <v>0</v>
      </c>
      <c r="AN1310">
        <v>0</v>
      </c>
      <c r="AO1310">
        <v>0</v>
      </c>
      <c r="AP1310" s="2">
        <v>42831</v>
      </c>
      <c r="AQ1310" t="s">
        <v>72</v>
      </c>
      <c r="AR1310" t="s">
        <v>72</v>
      </c>
      <c r="AS1310">
        <v>242</v>
      </c>
      <c r="AT1310" s="4">
        <v>42768</v>
      </c>
      <c r="AU1310" t="s">
        <v>73</v>
      </c>
      <c r="AV1310">
        <v>242</v>
      </c>
      <c r="AW1310" s="4">
        <v>42768</v>
      </c>
      <c r="BD1310">
        <v>0</v>
      </c>
      <c r="BN1310" t="s">
        <v>74</v>
      </c>
    </row>
    <row r="1311" spans="1:66">
      <c r="A1311">
        <v>101810</v>
      </c>
      <c r="B1311" t="s">
        <v>327</v>
      </c>
      <c r="C1311" s="1">
        <v>43300101</v>
      </c>
      <c r="D1311" t="s">
        <v>67</v>
      </c>
      <c r="H1311" t="str">
        <f>"02722690647"</f>
        <v>02722690647</v>
      </c>
      <c r="I1311" t="str">
        <f>"02722690647"</f>
        <v>02722690647</v>
      </c>
      <c r="K1311" t="str">
        <f>""</f>
        <v/>
      </c>
      <c r="M1311" t="s">
        <v>68</v>
      </c>
      <c r="N1311" t="str">
        <f t="shared" si="166"/>
        <v>FOR</v>
      </c>
      <c r="O1311" t="s">
        <v>69</v>
      </c>
      <c r="P1311" t="s">
        <v>75</v>
      </c>
      <c r="Q1311">
        <v>2016</v>
      </c>
      <c r="R1311" s="4">
        <v>42622</v>
      </c>
      <c r="S1311" s="2">
        <v>42625</v>
      </c>
      <c r="T1311" s="2">
        <v>42622</v>
      </c>
      <c r="U1311" s="4">
        <v>42682</v>
      </c>
      <c r="V1311" t="s">
        <v>71</v>
      </c>
      <c r="W1311" t="str">
        <f>"         FATTPA 9_16"</f>
        <v xml:space="preserve">         FATTPA 9_16</v>
      </c>
      <c r="X1311" s="1">
        <v>13843.58</v>
      </c>
      <c r="Y1311">
        <v>0</v>
      </c>
      <c r="Z1311" s="5">
        <v>11347.2</v>
      </c>
      <c r="AA1311" s="3">
        <v>115</v>
      </c>
      <c r="AB1311" s="5">
        <v>1304928</v>
      </c>
      <c r="AC1311" s="1">
        <v>11347.2</v>
      </c>
      <c r="AD1311">
        <v>115</v>
      </c>
      <c r="AE1311" s="1">
        <v>1304928</v>
      </c>
      <c r="AF1311" s="1">
        <v>2496.38</v>
      </c>
      <c r="AJ1311">
        <v>0</v>
      </c>
      <c r="AK1311">
        <v>0</v>
      </c>
      <c r="AL1311">
        <v>0</v>
      </c>
      <c r="AM1311">
        <v>0</v>
      </c>
      <c r="AN1311">
        <v>0</v>
      </c>
      <c r="AO1311">
        <v>0</v>
      </c>
      <c r="AP1311" s="2">
        <v>42831</v>
      </c>
      <c r="AQ1311" t="s">
        <v>72</v>
      </c>
      <c r="AR1311" t="s">
        <v>72</v>
      </c>
      <c r="AS1311">
        <v>718</v>
      </c>
      <c r="AT1311" s="4">
        <v>42797</v>
      </c>
      <c r="AU1311" t="s">
        <v>73</v>
      </c>
      <c r="AV1311">
        <v>718</v>
      </c>
      <c r="AW1311" s="4">
        <v>42797</v>
      </c>
      <c r="BB1311" s="1">
        <v>2496.38</v>
      </c>
      <c r="BD1311">
        <v>0</v>
      </c>
      <c r="BN1311" t="s">
        <v>74</v>
      </c>
    </row>
    <row r="1312" spans="1:66">
      <c r="A1312">
        <v>101812</v>
      </c>
      <c r="B1312" t="s">
        <v>328</v>
      </c>
      <c r="C1312" s="1">
        <v>43300101</v>
      </c>
      <c r="D1312" t="s">
        <v>67</v>
      </c>
      <c r="H1312" t="str">
        <f t="shared" ref="H1312:I1314" si="170">"02764431215"</f>
        <v>02764431215</v>
      </c>
      <c r="I1312" t="str">
        <f t="shared" si="170"/>
        <v>02764431215</v>
      </c>
      <c r="K1312" t="str">
        <f>""</f>
        <v/>
      </c>
      <c r="M1312" t="s">
        <v>68</v>
      </c>
      <c r="N1312" t="str">
        <f t="shared" si="166"/>
        <v>FOR</v>
      </c>
      <c r="O1312" t="s">
        <v>69</v>
      </c>
      <c r="P1312" t="s">
        <v>70</v>
      </c>
      <c r="Q1312">
        <v>2016</v>
      </c>
      <c r="R1312" s="4">
        <v>42490</v>
      </c>
      <c r="S1312" s="2">
        <v>42492</v>
      </c>
      <c r="T1312" s="2">
        <v>42492</v>
      </c>
      <c r="U1312" s="4">
        <v>42552</v>
      </c>
      <c r="V1312" t="s">
        <v>71</v>
      </c>
      <c r="W1312" t="str">
        <f>"               22/PA"</f>
        <v xml:space="preserve">               22/PA</v>
      </c>
      <c r="X1312" s="1">
        <v>53493.38</v>
      </c>
      <c r="Y1312">
        <v>0</v>
      </c>
      <c r="Z1312" s="5">
        <v>43847.03</v>
      </c>
      <c r="AA1312" s="3">
        <v>222</v>
      </c>
      <c r="AB1312" s="5">
        <v>9734040.6600000001</v>
      </c>
      <c r="AC1312" s="1">
        <v>43847.03</v>
      </c>
      <c r="AD1312">
        <v>222</v>
      </c>
      <c r="AE1312" s="1">
        <v>9734040.6600000001</v>
      </c>
      <c r="AF1312">
        <v>0</v>
      </c>
      <c r="AJ1312">
        <v>0</v>
      </c>
      <c r="AK1312">
        <v>0</v>
      </c>
      <c r="AL1312">
        <v>0</v>
      </c>
      <c r="AM1312">
        <v>0</v>
      </c>
      <c r="AN1312">
        <v>0</v>
      </c>
      <c r="AO1312">
        <v>0</v>
      </c>
      <c r="AP1312" s="2">
        <v>42831</v>
      </c>
      <c r="AQ1312" t="s">
        <v>72</v>
      </c>
      <c r="AR1312" t="s">
        <v>72</v>
      </c>
      <c r="AS1312">
        <v>359</v>
      </c>
      <c r="AT1312" s="4">
        <v>42774</v>
      </c>
      <c r="AU1312" t="s">
        <v>73</v>
      </c>
      <c r="AV1312">
        <v>359</v>
      </c>
      <c r="AW1312" s="4">
        <v>42774</v>
      </c>
      <c r="BD1312">
        <v>0</v>
      </c>
      <c r="BN1312" t="s">
        <v>74</v>
      </c>
    </row>
    <row r="1313" spans="1:66">
      <c r="A1313">
        <v>101812</v>
      </c>
      <c r="B1313" t="s">
        <v>328</v>
      </c>
      <c r="C1313" s="1">
        <v>43300101</v>
      </c>
      <c r="D1313" t="s">
        <v>67</v>
      </c>
      <c r="H1313" t="str">
        <f t="shared" si="170"/>
        <v>02764431215</v>
      </c>
      <c r="I1313" t="str">
        <f t="shared" si="170"/>
        <v>02764431215</v>
      </c>
      <c r="K1313" t="str">
        <f>""</f>
        <v/>
      </c>
      <c r="M1313" t="s">
        <v>68</v>
      </c>
      <c r="N1313" t="str">
        <f t="shared" si="166"/>
        <v>FOR</v>
      </c>
      <c r="O1313" t="s">
        <v>69</v>
      </c>
      <c r="P1313" t="s">
        <v>75</v>
      </c>
      <c r="Q1313">
        <v>2016</v>
      </c>
      <c r="R1313" s="4">
        <v>42516</v>
      </c>
      <c r="S1313" s="2">
        <v>42520</v>
      </c>
      <c r="T1313" s="2">
        <v>42517</v>
      </c>
      <c r="U1313" s="4">
        <v>42577</v>
      </c>
      <c r="V1313" t="s">
        <v>71</v>
      </c>
      <c r="W1313" t="str">
        <f>"               26/PA"</f>
        <v xml:space="preserve">               26/PA</v>
      </c>
      <c r="X1313" s="1">
        <v>20147.21</v>
      </c>
      <c r="Y1313">
        <v>0</v>
      </c>
      <c r="Z1313" s="5">
        <v>16514.11</v>
      </c>
      <c r="AA1313" s="3">
        <v>219</v>
      </c>
      <c r="AB1313" s="5">
        <v>3616590.09</v>
      </c>
      <c r="AC1313" s="1">
        <v>16514.11</v>
      </c>
      <c r="AD1313">
        <v>219</v>
      </c>
      <c r="AE1313" s="1">
        <v>3616590.09</v>
      </c>
      <c r="AF1313" s="1">
        <v>3633.1</v>
      </c>
      <c r="AJ1313">
        <v>0</v>
      </c>
      <c r="AK1313">
        <v>0</v>
      </c>
      <c r="AL1313">
        <v>0</v>
      </c>
      <c r="AM1313">
        <v>0</v>
      </c>
      <c r="AN1313">
        <v>0</v>
      </c>
      <c r="AO1313">
        <v>0</v>
      </c>
      <c r="AP1313" s="2">
        <v>42831</v>
      </c>
      <c r="AQ1313" t="s">
        <v>72</v>
      </c>
      <c r="AR1313" t="s">
        <v>72</v>
      </c>
      <c r="AS1313">
        <v>692</v>
      </c>
      <c r="AT1313" s="4">
        <v>42796</v>
      </c>
      <c r="AU1313" t="s">
        <v>73</v>
      </c>
      <c r="AV1313">
        <v>692</v>
      </c>
      <c r="AW1313" s="4">
        <v>42796</v>
      </c>
      <c r="BD1313" s="1">
        <v>3633.1</v>
      </c>
      <c r="BN1313" t="s">
        <v>74</v>
      </c>
    </row>
    <row r="1314" spans="1:66">
      <c r="A1314">
        <v>101812</v>
      </c>
      <c r="B1314" t="s">
        <v>328</v>
      </c>
      <c r="C1314" s="1">
        <v>43300101</v>
      </c>
      <c r="D1314" t="s">
        <v>67</v>
      </c>
      <c r="H1314" t="str">
        <f t="shared" si="170"/>
        <v>02764431215</v>
      </c>
      <c r="I1314" t="str">
        <f t="shared" si="170"/>
        <v>02764431215</v>
      </c>
      <c r="K1314" t="str">
        <f>""</f>
        <v/>
      </c>
      <c r="M1314" t="s">
        <v>68</v>
      </c>
      <c r="N1314" t="str">
        <f t="shared" si="166"/>
        <v>FOR</v>
      </c>
      <c r="O1314" t="s">
        <v>69</v>
      </c>
      <c r="P1314" t="s">
        <v>70</v>
      </c>
      <c r="Q1314">
        <v>2016</v>
      </c>
      <c r="R1314" s="4">
        <v>42551</v>
      </c>
      <c r="S1314" s="2">
        <v>42552</v>
      </c>
      <c r="T1314" s="2">
        <v>42552</v>
      </c>
      <c r="U1314" s="4">
        <v>42612</v>
      </c>
      <c r="V1314" t="s">
        <v>71</v>
      </c>
      <c r="W1314" t="str">
        <f>"               31/PA"</f>
        <v xml:space="preserve">               31/PA</v>
      </c>
      <c r="X1314" s="1">
        <v>53493.38</v>
      </c>
      <c r="Y1314">
        <v>0</v>
      </c>
      <c r="Z1314" s="5">
        <v>43847.03</v>
      </c>
      <c r="AA1314" s="3">
        <v>184</v>
      </c>
      <c r="AB1314" s="5">
        <v>8067853.5199999996</v>
      </c>
      <c r="AC1314" s="1">
        <v>43847.03</v>
      </c>
      <c r="AD1314">
        <v>184</v>
      </c>
      <c r="AE1314" s="1">
        <v>8067853.5199999996</v>
      </c>
      <c r="AF1314" s="1">
        <v>9646.35</v>
      </c>
      <c r="AJ1314">
        <v>0</v>
      </c>
      <c r="AK1314">
        <v>0</v>
      </c>
      <c r="AL1314">
        <v>0</v>
      </c>
      <c r="AM1314">
        <v>0</v>
      </c>
      <c r="AN1314">
        <v>0</v>
      </c>
      <c r="AO1314">
        <v>0</v>
      </c>
      <c r="AP1314" s="2">
        <v>42831</v>
      </c>
      <c r="AQ1314" t="s">
        <v>72</v>
      </c>
      <c r="AR1314" t="s">
        <v>72</v>
      </c>
      <c r="AS1314">
        <v>692</v>
      </c>
      <c r="AT1314" s="4">
        <v>42796</v>
      </c>
      <c r="AU1314" t="s">
        <v>73</v>
      </c>
      <c r="AV1314">
        <v>692</v>
      </c>
      <c r="AW1314" s="4">
        <v>42796</v>
      </c>
      <c r="BD1314" s="1">
        <v>9646.35</v>
      </c>
      <c r="BN1314" t="s">
        <v>74</v>
      </c>
    </row>
    <row r="1315" spans="1:66">
      <c r="A1315">
        <v>101820</v>
      </c>
      <c r="B1315" t="s">
        <v>329</v>
      </c>
      <c r="C1315" s="1">
        <v>43300101</v>
      </c>
      <c r="D1315" t="s">
        <v>67</v>
      </c>
      <c r="H1315" t="str">
        <f>"04411460639"</f>
        <v>04411460639</v>
      </c>
      <c r="I1315" t="str">
        <f>"01550070617"</f>
        <v>01550070617</v>
      </c>
      <c r="K1315" t="str">
        <f>""</f>
        <v/>
      </c>
      <c r="M1315" t="s">
        <v>68</v>
      </c>
      <c r="N1315" t="str">
        <f t="shared" si="166"/>
        <v>FOR</v>
      </c>
      <c r="O1315" t="s">
        <v>69</v>
      </c>
      <c r="P1315" t="s">
        <v>75</v>
      </c>
      <c r="Q1315">
        <v>2015</v>
      </c>
      <c r="R1315" s="4">
        <v>42155</v>
      </c>
      <c r="S1315" s="2">
        <v>42177</v>
      </c>
      <c r="T1315" s="2">
        <v>42172</v>
      </c>
      <c r="U1315" s="4">
        <v>42232</v>
      </c>
      <c r="V1315" t="s">
        <v>71</v>
      </c>
      <c r="W1315" t="str">
        <f>"           15/307859"</f>
        <v xml:space="preserve">           15/307859</v>
      </c>
      <c r="X1315">
        <v>845.94</v>
      </c>
      <c r="Y1315">
        <v>0</v>
      </c>
      <c r="Z1315" s="5">
        <v>813.4</v>
      </c>
      <c r="AA1315" s="3">
        <v>536</v>
      </c>
      <c r="AB1315" s="5">
        <v>435982.4</v>
      </c>
      <c r="AC1315">
        <v>813.4</v>
      </c>
      <c r="AD1315">
        <v>536</v>
      </c>
      <c r="AE1315" s="1">
        <v>435982.4</v>
      </c>
      <c r="AF1315">
        <v>0</v>
      </c>
      <c r="AJ1315">
        <v>0</v>
      </c>
      <c r="AK1315">
        <v>0</v>
      </c>
      <c r="AL1315">
        <v>0</v>
      </c>
      <c r="AM1315">
        <v>0</v>
      </c>
      <c r="AN1315">
        <v>0</v>
      </c>
      <c r="AO1315">
        <v>0</v>
      </c>
      <c r="AP1315" s="2">
        <v>42831</v>
      </c>
      <c r="AQ1315" t="s">
        <v>72</v>
      </c>
      <c r="AR1315" t="s">
        <v>72</v>
      </c>
      <c r="AS1315">
        <v>222</v>
      </c>
      <c r="AT1315" s="4">
        <v>42768</v>
      </c>
      <c r="AU1315" t="s">
        <v>73</v>
      </c>
      <c r="AV1315">
        <v>222</v>
      </c>
      <c r="AW1315" s="4">
        <v>42768</v>
      </c>
      <c r="BD1315">
        <v>0</v>
      </c>
      <c r="BN1315" t="s">
        <v>74</v>
      </c>
    </row>
    <row r="1316" spans="1:66">
      <c r="A1316">
        <v>101820</v>
      </c>
      <c r="B1316" t="s">
        <v>329</v>
      </c>
      <c r="C1316" s="1">
        <v>43300101</v>
      </c>
      <c r="D1316" t="s">
        <v>67</v>
      </c>
      <c r="H1316" t="str">
        <f>"04411460639"</f>
        <v>04411460639</v>
      </c>
      <c r="I1316" t="str">
        <f>"01550070617"</f>
        <v>01550070617</v>
      </c>
      <c r="K1316" t="str">
        <f>""</f>
        <v/>
      </c>
      <c r="M1316" t="s">
        <v>68</v>
      </c>
      <c r="N1316" t="str">
        <f t="shared" si="166"/>
        <v>FOR</v>
      </c>
      <c r="O1316" t="s">
        <v>69</v>
      </c>
      <c r="P1316" t="s">
        <v>75</v>
      </c>
      <c r="Q1316">
        <v>2016</v>
      </c>
      <c r="R1316" s="4">
        <v>42674</v>
      </c>
      <c r="S1316" s="2">
        <v>42682</v>
      </c>
      <c r="T1316" s="2">
        <v>42681</v>
      </c>
      <c r="U1316" s="4">
        <v>42741</v>
      </c>
      <c r="V1316" t="s">
        <v>71</v>
      </c>
      <c r="W1316" t="str">
        <f>"           16/329358"</f>
        <v xml:space="preserve">           16/329358</v>
      </c>
      <c r="X1316" s="1">
        <v>8168.89</v>
      </c>
      <c r="Y1316">
        <v>0</v>
      </c>
      <c r="Z1316" s="5">
        <v>7854.7</v>
      </c>
      <c r="AA1316" s="3">
        <v>60</v>
      </c>
      <c r="AB1316" s="5">
        <v>471282</v>
      </c>
      <c r="AC1316" s="1">
        <v>7854.7</v>
      </c>
      <c r="AD1316">
        <v>60</v>
      </c>
      <c r="AE1316" s="1">
        <v>471282</v>
      </c>
      <c r="AF1316">
        <v>314.19</v>
      </c>
      <c r="AJ1316">
        <v>0</v>
      </c>
      <c r="AK1316">
        <v>0</v>
      </c>
      <c r="AL1316">
        <v>0</v>
      </c>
      <c r="AM1316">
        <v>0</v>
      </c>
      <c r="AN1316">
        <v>0</v>
      </c>
      <c r="AO1316">
        <v>0</v>
      </c>
      <c r="AP1316" s="2">
        <v>42831</v>
      </c>
      <c r="AQ1316" t="s">
        <v>72</v>
      </c>
      <c r="AR1316" t="s">
        <v>72</v>
      </c>
      <c r="AS1316">
        <v>747</v>
      </c>
      <c r="AT1316" s="4">
        <v>42801</v>
      </c>
      <c r="AU1316" t="s">
        <v>73</v>
      </c>
      <c r="AV1316">
        <v>747</v>
      </c>
      <c r="AW1316" s="4">
        <v>42801</v>
      </c>
      <c r="AZ1316">
        <v>314.19</v>
      </c>
      <c r="BD1316">
        <v>0</v>
      </c>
      <c r="BN1316" t="s">
        <v>74</v>
      </c>
    </row>
    <row r="1317" spans="1:66">
      <c r="A1317">
        <v>101831</v>
      </c>
      <c r="B1317" t="s">
        <v>330</v>
      </c>
      <c r="C1317" s="1">
        <v>43300101</v>
      </c>
      <c r="D1317" t="s">
        <v>67</v>
      </c>
      <c r="H1317" t="str">
        <f>"02948410838"</f>
        <v>02948410838</v>
      </c>
      <c r="I1317" t="str">
        <f>"02948410838"</f>
        <v>02948410838</v>
      </c>
      <c r="K1317" t="str">
        <f>""</f>
        <v/>
      </c>
      <c r="M1317" t="s">
        <v>68</v>
      </c>
      <c r="N1317" t="str">
        <f t="shared" si="166"/>
        <v>FOR</v>
      </c>
      <c r="O1317" t="s">
        <v>69</v>
      </c>
      <c r="P1317" t="s">
        <v>75</v>
      </c>
      <c r="Q1317">
        <v>2016</v>
      </c>
      <c r="R1317" s="4">
        <v>42732</v>
      </c>
      <c r="S1317" s="2">
        <v>42735</v>
      </c>
      <c r="T1317" s="2">
        <v>42734</v>
      </c>
      <c r="U1317" s="4">
        <v>42794</v>
      </c>
      <c r="V1317" t="s">
        <v>71</v>
      </c>
      <c r="W1317" t="str">
        <f>"                 429"</f>
        <v xml:space="preserve">                 429</v>
      </c>
      <c r="X1317" s="1">
        <v>5097.16</v>
      </c>
      <c r="Y1317">
        <v>0</v>
      </c>
      <c r="Z1317" s="5">
        <v>4178</v>
      </c>
      <c r="AA1317" s="3">
        <v>24</v>
      </c>
      <c r="AB1317" s="5">
        <v>100272</v>
      </c>
      <c r="AC1317" s="1">
        <v>4178</v>
      </c>
      <c r="AD1317">
        <v>24</v>
      </c>
      <c r="AE1317" s="1">
        <v>100272</v>
      </c>
      <c r="AF1317">
        <v>919.16</v>
      </c>
      <c r="AJ1317">
        <v>0</v>
      </c>
      <c r="AK1317">
        <v>0</v>
      </c>
      <c r="AL1317">
        <v>0</v>
      </c>
      <c r="AM1317">
        <v>0</v>
      </c>
      <c r="AN1317">
        <v>0</v>
      </c>
      <c r="AO1317">
        <v>0</v>
      </c>
      <c r="AP1317" s="2">
        <v>42831</v>
      </c>
      <c r="AQ1317" t="s">
        <v>72</v>
      </c>
      <c r="AR1317" t="s">
        <v>72</v>
      </c>
      <c r="AS1317">
        <v>901</v>
      </c>
      <c r="AT1317" s="4">
        <v>42818</v>
      </c>
      <c r="AU1317" t="s">
        <v>73</v>
      </c>
      <c r="AV1317">
        <v>901</v>
      </c>
      <c r="AW1317" s="4">
        <v>42818</v>
      </c>
      <c r="AY1317">
        <v>919.16</v>
      </c>
      <c r="BD1317">
        <v>0</v>
      </c>
      <c r="BN1317" t="s">
        <v>74</v>
      </c>
    </row>
    <row r="1318" spans="1:66">
      <c r="A1318">
        <v>101851</v>
      </c>
      <c r="B1318" t="s">
        <v>331</v>
      </c>
      <c r="C1318" s="1">
        <v>43300101</v>
      </c>
      <c r="D1318" t="s">
        <v>67</v>
      </c>
      <c r="H1318" t="str">
        <f t="shared" ref="H1318:I1331" si="171">"11667890153"</f>
        <v>11667890153</v>
      </c>
      <c r="I1318" t="str">
        <f t="shared" si="171"/>
        <v>11667890153</v>
      </c>
      <c r="K1318" t="str">
        <f>""</f>
        <v/>
      </c>
      <c r="M1318" t="s">
        <v>68</v>
      </c>
      <c r="N1318" t="str">
        <f t="shared" si="166"/>
        <v>FOR</v>
      </c>
      <c r="O1318" t="s">
        <v>69</v>
      </c>
      <c r="P1318" t="s">
        <v>75</v>
      </c>
      <c r="Q1318">
        <v>2016</v>
      </c>
      <c r="R1318" s="4">
        <v>42663</v>
      </c>
      <c r="S1318" s="2">
        <v>42683</v>
      </c>
      <c r="T1318" s="2">
        <v>42681</v>
      </c>
      <c r="U1318" s="4">
        <v>42741</v>
      </c>
      <c r="V1318" t="s">
        <v>71</v>
      </c>
      <c r="W1318" t="str">
        <f>"          8261001493"</f>
        <v xml:space="preserve">          8261001493</v>
      </c>
      <c r="X1318" s="1">
        <v>1690.92</v>
      </c>
      <c r="Y1318">
        <v>0</v>
      </c>
      <c r="Z1318" s="5">
        <v>1386</v>
      </c>
      <c r="AA1318" s="3">
        <v>33</v>
      </c>
      <c r="AB1318" s="5">
        <v>45738</v>
      </c>
      <c r="AC1318" s="1">
        <v>1386</v>
      </c>
      <c r="AD1318">
        <v>33</v>
      </c>
      <c r="AE1318" s="1">
        <v>45738</v>
      </c>
      <c r="AF1318">
        <v>0</v>
      </c>
      <c r="AJ1318">
        <v>0</v>
      </c>
      <c r="AK1318">
        <v>0</v>
      </c>
      <c r="AL1318">
        <v>0</v>
      </c>
      <c r="AM1318">
        <v>0</v>
      </c>
      <c r="AN1318">
        <v>0</v>
      </c>
      <c r="AO1318">
        <v>0</v>
      </c>
      <c r="AP1318" s="2">
        <v>42831</v>
      </c>
      <c r="AQ1318" t="s">
        <v>72</v>
      </c>
      <c r="AR1318" t="s">
        <v>72</v>
      </c>
      <c r="AS1318">
        <v>322</v>
      </c>
      <c r="AT1318" s="4">
        <v>42774</v>
      </c>
      <c r="AU1318" t="s">
        <v>73</v>
      </c>
      <c r="AV1318">
        <v>322</v>
      </c>
      <c r="AW1318" s="4">
        <v>42774</v>
      </c>
      <c r="BD1318">
        <v>0</v>
      </c>
      <c r="BN1318" t="s">
        <v>74</v>
      </c>
    </row>
    <row r="1319" spans="1:66">
      <c r="A1319">
        <v>101851</v>
      </c>
      <c r="B1319" t="s">
        <v>331</v>
      </c>
      <c r="C1319" s="1">
        <v>43300101</v>
      </c>
      <c r="D1319" t="s">
        <v>67</v>
      </c>
      <c r="H1319" t="str">
        <f t="shared" si="171"/>
        <v>11667890153</v>
      </c>
      <c r="I1319" t="str">
        <f t="shared" si="171"/>
        <v>11667890153</v>
      </c>
      <c r="K1319" t="str">
        <f>""</f>
        <v/>
      </c>
      <c r="M1319" t="s">
        <v>68</v>
      </c>
      <c r="N1319" t="str">
        <f t="shared" si="166"/>
        <v>FOR</v>
      </c>
      <c r="O1319" t="s">
        <v>69</v>
      </c>
      <c r="P1319" t="s">
        <v>75</v>
      </c>
      <c r="Q1319">
        <v>2016</v>
      </c>
      <c r="R1319" s="4">
        <v>42667</v>
      </c>
      <c r="S1319" s="2">
        <v>42683</v>
      </c>
      <c r="T1319" s="2">
        <v>42681</v>
      </c>
      <c r="U1319" s="4">
        <v>42741</v>
      </c>
      <c r="V1319" t="s">
        <v>71</v>
      </c>
      <c r="W1319" t="str">
        <f>"          8261001897"</f>
        <v xml:space="preserve">          8261001897</v>
      </c>
      <c r="X1319" s="1">
        <v>3088.8</v>
      </c>
      <c r="Y1319">
        <v>0</v>
      </c>
      <c r="Z1319" s="5">
        <v>2808</v>
      </c>
      <c r="AA1319" s="3">
        <v>33</v>
      </c>
      <c r="AB1319" s="5">
        <v>92664</v>
      </c>
      <c r="AC1319" s="1">
        <v>2808</v>
      </c>
      <c r="AD1319">
        <v>33</v>
      </c>
      <c r="AE1319" s="1">
        <v>92664</v>
      </c>
      <c r="AF1319">
        <v>0</v>
      </c>
      <c r="AJ1319">
        <v>0</v>
      </c>
      <c r="AK1319">
        <v>0</v>
      </c>
      <c r="AL1319">
        <v>0</v>
      </c>
      <c r="AM1319">
        <v>0</v>
      </c>
      <c r="AN1319">
        <v>0</v>
      </c>
      <c r="AO1319">
        <v>0</v>
      </c>
      <c r="AP1319" s="2">
        <v>42831</v>
      </c>
      <c r="AQ1319" t="s">
        <v>72</v>
      </c>
      <c r="AR1319" t="s">
        <v>72</v>
      </c>
      <c r="AS1319">
        <v>322</v>
      </c>
      <c r="AT1319" s="4">
        <v>42774</v>
      </c>
      <c r="AU1319" t="s">
        <v>73</v>
      </c>
      <c r="AV1319">
        <v>322</v>
      </c>
      <c r="AW1319" s="4">
        <v>42774</v>
      </c>
      <c r="BD1319">
        <v>0</v>
      </c>
      <c r="BN1319" t="s">
        <v>74</v>
      </c>
    </row>
    <row r="1320" spans="1:66">
      <c r="A1320">
        <v>101851</v>
      </c>
      <c r="B1320" t="s">
        <v>331</v>
      </c>
      <c r="C1320" s="1">
        <v>43300101</v>
      </c>
      <c r="D1320" t="s">
        <v>67</v>
      </c>
      <c r="H1320" t="str">
        <f t="shared" si="171"/>
        <v>11667890153</v>
      </c>
      <c r="I1320" t="str">
        <f t="shared" si="171"/>
        <v>11667890153</v>
      </c>
      <c r="K1320" t="str">
        <f>""</f>
        <v/>
      </c>
      <c r="M1320" t="s">
        <v>68</v>
      </c>
      <c r="N1320" t="str">
        <f t="shared" si="166"/>
        <v>FOR</v>
      </c>
      <c r="O1320" t="s">
        <v>69</v>
      </c>
      <c r="P1320" t="s">
        <v>75</v>
      </c>
      <c r="Q1320">
        <v>2016</v>
      </c>
      <c r="R1320" s="4">
        <v>42500</v>
      </c>
      <c r="S1320" s="2">
        <v>42501</v>
      </c>
      <c r="T1320" s="2">
        <v>42501</v>
      </c>
      <c r="U1320" s="4">
        <v>42561</v>
      </c>
      <c r="V1320" t="s">
        <v>71</v>
      </c>
      <c r="W1320" t="str">
        <f>"         RH/16011951"</f>
        <v xml:space="preserve">         RH/16011951</v>
      </c>
      <c r="X1320" s="1">
        <v>2692.8</v>
      </c>
      <c r="Y1320">
        <v>0</v>
      </c>
      <c r="Z1320" s="5">
        <v>2448</v>
      </c>
      <c r="AA1320" s="3">
        <v>207</v>
      </c>
      <c r="AB1320" s="5">
        <v>506736</v>
      </c>
      <c r="AC1320" s="1">
        <v>2448</v>
      </c>
      <c r="AD1320">
        <v>207</v>
      </c>
      <c r="AE1320" s="1">
        <v>506736</v>
      </c>
      <c r="AF1320">
        <v>0</v>
      </c>
      <c r="AJ1320">
        <v>0</v>
      </c>
      <c r="AK1320">
        <v>0</v>
      </c>
      <c r="AL1320">
        <v>0</v>
      </c>
      <c r="AM1320">
        <v>0</v>
      </c>
      <c r="AN1320">
        <v>0</v>
      </c>
      <c r="AO1320">
        <v>0</v>
      </c>
      <c r="AP1320" s="2">
        <v>42831</v>
      </c>
      <c r="AQ1320" t="s">
        <v>72</v>
      </c>
      <c r="AR1320" t="s">
        <v>72</v>
      </c>
      <c r="AS1320">
        <v>274</v>
      </c>
      <c r="AT1320" s="4">
        <v>42768</v>
      </c>
      <c r="AU1320" t="s">
        <v>73</v>
      </c>
      <c r="AV1320">
        <v>274</v>
      </c>
      <c r="AW1320" s="4">
        <v>42768</v>
      </c>
      <c r="BD1320">
        <v>0</v>
      </c>
      <c r="BN1320" t="s">
        <v>74</v>
      </c>
    </row>
    <row r="1321" spans="1:66">
      <c r="A1321">
        <v>101851</v>
      </c>
      <c r="B1321" t="s">
        <v>331</v>
      </c>
      <c r="C1321" s="1">
        <v>43300101</v>
      </c>
      <c r="D1321" t="s">
        <v>67</v>
      </c>
      <c r="H1321" t="str">
        <f t="shared" si="171"/>
        <v>11667890153</v>
      </c>
      <c r="I1321" t="str">
        <f t="shared" si="171"/>
        <v>11667890153</v>
      </c>
      <c r="K1321" t="str">
        <f>""</f>
        <v/>
      </c>
      <c r="M1321" t="s">
        <v>68</v>
      </c>
      <c r="N1321" t="str">
        <f t="shared" si="166"/>
        <v>FOR</v>
      </c>
      <c r="O1321" t="s">
        <v>69</v>
      </c>
      <c r="P1321" t="s">
        <v>75</v>
      </c>
      <c r="Q1321">
        <v>2016</v>
      </c>
      <c r="R1321" s="4">
        <v>42524</v>
      </c>
      <c r="S1321" s="2">
        <v>42530</v>
      </c>
      <c r="T1321" s="2">
        <v>42529</v>
      </c>
      <c r="U1321" s="4">
        <v>42589</v>
      </c>
      <c r="V1321" t="s">
        <v>71</v>
      </c>
      <c r="W1321" t="str">
        <f>"         RH/16014245"</f>
        <v xml:space="preserve">         RH/16014245</v>
      </c>
      <c r="X1321">
        <v>396</v>
      </c>
      <c r="Y1321">
        <v>0</v>
      </c>
      <c r="Z1321" s="5">
        <v>360</v>
      </c>
      <c r="AA1321" s="3">
        <v>179</v>
      </c>
      <c r="AB1321" s="5">
        <v>64440</v>
      </c>
      <c r="AC1321">
        <v>360</v>
      </c>
      <c r="AD1321">
        <v>179</v>
      </c>
      <c r="AE1321" s="1">
        <v>64440</v>
      </c>
      <c r="AF1321">
        <v>0</v>
      </c>
      <c r="AJ1321">
        <v>0</v>
      </c>
      <c r="AK1321">
        <v>0</v>
      </c>
      <c r="AL1321">
        <v>0</v>
      </c>
      <c r="AM1321">
        <v>0</v>
      </c>
      <c r="AN1321">
        <v>0</v>
      </c>
      <c r="AO1321">
        <v>0</v>
      </c>
      <c r="AP1321" s="2">
        <v>42831</v>
      </c>
      <c r="AQ1321" t="s">
        <v>72</v>
      </c>
      <c r="AR1321" t="s">
        <v>72</v>
      </c>
      <c r="AS1321">
        <v>274</v>
      </c>
      <c r="AT1321" s="4">
        <v>42768</v>
      </c>
      <c r="AU1321" t="s">
        <v>73</v>
      </c>
      <c r="AV1321">
        <v>274</v>
      </c>
      <c r="AW1321" s="4">
        <v>42768</v>
      </c>
      <c r="BD1321">
        <v>0</v>
      </c>
      <c r="BN1321" t="s">
        <v>74</v>
      </c>
    </row>
    <row r="1322" spans="1:66">
      <c r="A1322">
        <v>101851</v>
      </c>
      <c r="B1322" t="s">
        <v>331</v>
      </c>
      <c r="C1322" s="1">
        <v>43300101</v>
      </c>
      <c r="D1322" t="s">
        <v>67</v>
      </c>
      <c r="H1322" t="str">
        <f t="shared" si="171"/>
        <v>11667890153</v>
      </c>
      <c r="I1322" t="str">
        <f t="shared" si="171"/>
        <v>11667890153</v>
      </c>
      <c r="K1322" t="str">
        <f>""</f>
        <v/>
      </c>
      <c r="M1322" t="s">
        <v>68</v>
      </c>
      <c r="N1322" t="str">
        <f t="shared" si="166"/>
        <v>FOR</v>
      </c>
      <c r="O1322" t="s">
        <v>69</v>
      </c>
      <c r="P1322" t="s">
        <v>75</v>
      </c>
      <c r="Q1322">
        <v>2016</v>
      </c>
      <c r="R1322" s="4">
        <v>42536</v>
      </c>
      <c r="S1322" s="2">
        <v>42542</v>
      </c>
      <c r="T1322" s="2">
        <v>42538</v>
      </c>
      <c r="U1322" s="4">
        <v>42598</v>
      </c>
      <c r="V1322" t="s">
        <v>71</v>
      </c>
      <c r="W1322" t="str">
        <f>"         RH/16015192"</f>
        <v xml:space="preserve">         RH/16015192</v>
      </c>
      <c r="X1322">
        <v>910.8</v>
      </c>
      <c r="Y1322">
        <v>0</v>
      </c>
      <c r="Z1322" s="5">
        <v>828</v>
      </c>
      <c r="AA1322" s="3">
        <v>170</v>
      </c>
      <c r="AB1322" s="5">
        <v>140760</v>
      </c>
      <c r="AC1322">
        <v>828</v>
      </c>
      <c r="AD1322">
        <v>170</v>
      </c>
      <c r="AE1322" s="1">
        <v>140760</v>
      </c>
      <c r="AF1322">
        <v>0</v>
      </c>
      <c r="AJ1322">
        <v>0</v>
      </c>
      <c r="AK1322">
        <v>0</v>
      </c>
      <c r="AL1322">
        <v>0</v>
      </c>
      <c r="AM1322">
        <v>0</v>
      </c>
      <c r="AN1322">
        <v>0</v>
      </c>
      <c r="AO1322">
        <v>0</v>
      </c>
      <c r="AP1322" s="2">
        <v>42831</v>
      </c>
      <c r="AQ1322" t="s">
        <v>72</v>
      </c>
      <c r="AR1322" t="s">
        <v>72</v>
      </c>
      <c r="AS1322">
        <v>274</v>
      </c>
      <c r="AT1322" s="4">
        <v>42768</v>
      </c>
      <c r="AU1322" t="s">
        <v>73</v>
      </c>
      <c r="AV1322">
        <v>274</v>
      </c>
      <c r="AW1322" s="4">
        <v>42768</v>
      </c>
      <c r="BD1322">
        <v>0</v>
      </c>
      <c r="BN1322" t="s">
        <v>74</v>
      </c>
    </row>
    <row r="1323" spans="1:66">
      <c r="A1323">
        <v>101851</v>
      </c>
      <c r="B1323" t="s">
        <v>331</v>
      </c>
      <c r="C1323" s="1">
        <v>43300101</v>
      </c>
      <c r="D1323" t="s">
        <v>67</v>
      </c>
      <c r="H1323" t="str">
        <f t="shared" si="171"/>
        <v>11667890153</v>
      </c>
      <c r="I1323" t="str">
        <f t="shared" si="171"/>
        <v>11667890153</v>
      </c>
      <c r="K1323" t="str">
        <f>""</f>
        <v/>
      </c>
      <c r="M1323" t="s">
        <v>68</v>
      </c>
      <c r="N1323" t="str">
        <f t="shared" ref="N1323:N1354" si="172">"FOR"</f>
        <v>FOR</v>
      </c>
      <c r="O1323" t="s">
        <v>69</v>
      </c>
      <c r="P1323" t="s">
        <v>75</v>
      </c>
      <c r="Q1323">
        <v>2016</v>
      </c>
      <c r="R1323" s="4">
        <v>42538</v>
      </c>
      <c r="S1323" s="2">
        <v>42543</v>
      </c>
      <c r="T1323" s="2">
        <v>42543</v>
      </c>
      <c r="U1323" s="4">
        <v>42603</v>
      </c>
      <c r="V1323" t="s">
        <v>71</v>
      </c>
      <c r="W1323" t="str">
        <f>"         RH/16015538"</f>
        <v xml:space="preserve">         RH/16015538</v>
      </c>
      <c r="X1323" s="1">
        <v>2178</v>
      </c>
      <c r="Y1323">
        <v>0</v>
      </c>
      <c r="Z1323" s="5">
        <v>1980</v>
      </c>
      <c r="AA1323" s="3">
        <v>165</v>
      </c>
      <c r="AB1323" s="5">
        <v>326700</v>
      </c>
      <c r="AC1323" s="1">
        <v>1980</v>
      </c>
      <c r="AD1323">
        <v>165</v>
      </c>
      <c r="AE1323" s="1">
        <v>326700</v>
      </c>
      <c r="AF1323">
        <v>0</v>
      </c>
      <c r="AJ1323">
        <v>0</v>
      </c>
      <c r="AK1323">
        <v>0</v>
      </c>
      <c r="AL1323">
        <v>0</v>
      </c>
      <c r="AM1323">
        <v>0</v>
      </c>
      <c r="AN1323">
        <v>0</v>
      </c>
      <c r="AO1323">
        <v>0</v>
      </c>
      <c r="AP1323" s="2">
        <v>42831</v>
      </c>
      <c r="AQ1323" t="s">
        <v>72</v>
      </c>
      <c r="AR1323" t="s">
        <v>72</v>
      </c>
      <c r="AS1323">
        <v>274</v>
      </c>
      <c r="AT1323" s="4">
        <v>42768</v>
      </c>
      <c r="AU1323" t="s">
        <v>73</v>
      </c>
      <c r="AV1323">
        <v>274</v>
      </c>
      <c r="AW1323" s="4">
        <v>42768</v>
      </c>
      <c r="BD1323">
        <v>0</v>
      </c>
      <c r="BN1323" t="s">
        <v>74</v>
      </c>
    </row>
    <row r="1324" spans="1:66">
      <c r="A1324">
        <v>101851</v>
      </c>
      <c r="B1324" t="s">
        <v>331</v>
      </c>
      <c r="C1324" s="1">
        <v>43300101</v>
      </c>
      <c r="D1324" t="s">
        <v>67</v>
      </c>
      <c r="H1324" t="str">
        <f t="shared" si="171"/>
        <v>11667890153</v>
      </c>
      <c r="I1324" t="str">
        <f t="shared" si="171"/>
        <v>11667890153</v>
      </c>
      <c r="K1324" t="str">
        <f>""</f>
        <v/>
      </c>
      <c r="M1324" t="s">
        <v>68</v>
      </c>
      <c r="N1324" t="str">
        <f t="shared" si="172"/>
        <v>FOR</v>
      </c>
      <c r="O1324" t="s">
        <v>69</v>
      </c>
      <c r="P1324" t="s">
        <v>75</v>
      </c>
      <c r="Q1324">
        <v>2016</v>
      </c>
      <c r="R1324" s="4">
        <v>42549</v>
      </c>
      <c r="S1324" s="2">
        <v>42551</v>
      </c>
      <c r="T1324" s="2">
        <v>42550</v>
      </c>
      <c r="U1324" s="4">
        <v>42610</v>
      </c>
      <c r="V1324" t="s">
        <v>71</v>
      </c>
      <c r="W1324" t="str">
        <f>"         RH/16016435"</f>
        <v xml:space="preserve">         RH/16016435</v>
      </c>
      <c r="X1324">
        <v>231</v>
      </c>
      <c r="Y1324">
        <v>0</v>
      </c>
      <c r="Z1324" s="5">
        <v>210</v>
      </c>
      <c r="AA1324" s="3">
        <v>158</v>
      </c>
      <c r="AB1324" s="5">
        <v>33180</v>
      </c>
      <c r="AC1324">
        <v>210</v>
      </c>
      <c r="AD1324">
        <v>158</v>
      </c>
      <c r="AE1324" s="1">
        <v>33180</v>
      </c>
      <c r="AF1324">
        <v>0</v>
      </c>
      <c r="AJ1324">
        <v>0</v>
      </c>
      <c r="AK1324">
        <v>0</v>
      </c>
      <c r="AL1324">
        <v>0</v>
      </c>
      <c r="AM1324">
        <v>0</v>
      </c>
      <c r="AN1324">
        <v>0</v>
      </c>
      <c r="AO1324">
        <v>0</v>
      </c>
      <c r="AP1324" s="2">
        <v>42831</v>
      </c>
      <c r="AQ1324" t="s">
        <v>72</v>
      </c>
      <c r="AR1324" t="s">
        <v>72</v>
      </c>
      <c r="AS1324">
        <v>274</v>
      </c>
      <c r="AT1324" s="4">
        <v>42768</v>
      </c>
      <c r="AU1324" t="s">
        <v>73</v>
      </c>
      <c r="AV1324">
        <v>274</v>
      </c>
      <c r="AW1324" s="4">
        <v>42768</v>
      </c>
      <c r="BD1324">
        <v>0</v>
      </c>
      <c r="BN1324" t="s">
        <v>74</v>
      </c>
    </row>
    <row r="1325" spans="1:66">
      <c r="A1325">
        <v>101851</v>
      </c>
      <c r="B1325" t="s">
        <v>331</v>
      </c>
      <c r="C1325" s="1">
        <v>43300101</v>
      </c>
      <c r="D1325" t="s">
        <v>67</v>
      </c>
      <c r="H1325" t="str">
        <f t="shared" si="171"/>
        <v>11667890153</v>
      </c>
      <c r="I1325" t="str">
        <f t="shared" si="171"/>
        <v>11667890153</v>
      </c>
      <c r="K1325" t="str">
        <f>""</f>
        <v/>
      </c>
      <c r="M1325" t="s">
        <v>68</v>
      </c>
      <c r="N1325" t="str">
        <f t="shared" si="172"/>
        <v>FOR</v>
      </c>
      <c r="O1325" t="s">
        <v>69</v>
      </c>
      <c r="P1325" t="s">
        <v>75</v>
      </c>
      <c r="Q1325">
        <v>2016</v>
      </c>
      <c r="R1325" s="4">
        <v>42569</v>
      </c>
      <c r="S1325" s="2">
        <v>42571</v>
      </c>
      <c r="T1325" s="2">
        <v>42570</v>
      </c>
      <c r="U1325" s="4">
        <v>42630</v>
      </c>
      <c r="V1325" t="s">
        <v>71</v>
      </c>
      <c r="W1325" t="str">
        <f>"         RH/16018435"</f>
        <v xml:space="preserve">         RH/16018435</v>
      </c>
      <c r="X1325" s="1">
        <v>3088.8</v>
      </c>
      <c r="Y1325">
        <v>0</v>
      </c>
      <c r="Z1325" s="5">
        <v>2808</v>
      </c>
      <c r="AA1325" s="3">
        <v>165</v>
      </c>
      <c r="AB1325" s="5">
        <v>463320</v>
      </c>
      <c r="AC1325" s="1">
        <v>2808</v>
      </c>
      <c r="AD1325">
        <v>165</v>
      </c>
      <c r="AE1325" s="1">
        <v>463320</v>
      </c>
      <c r="AF1325">
        <v>280.8</v>
      </c>
      <c r="AJ1325">
        <v>0</v>
      </c>
      <c r="AK1325">
        <v>0</v>
      </c>
      <c r="AL1325">
        <v>0</v>
      </c>
      <c r="AM1325">
        <v>0</v>
      </c>
      <c r="AN1325">
        <v>0</v>
      </c>
      <c r="AO1325">
        <v>0</v>
      </c>
      <c r="AP1325" s="2">
        <v>42831</v>
      </c>
      <c r="AQ1325" t="s">
        <v>72</v>
      </c>
      <c r="AR1325" t="s">
        <v>72</v>
      </c>
      <c r="AS1325">
        <v>669</v>
      </c>
      <c r="AT1325" s="4">
        <v>42795</v>
      </c>
      <c r="AU1325" t="s">
        <v>73</v>
      </c>
      <c r="AV1325">
        <v>669</v>
      </c>
      <c r="AW1325" s="4">
        <v>42795</v>
      </c>
      <c r="BD1325">
        <v>280.8</v>
      </c>
      <c r="BN1325" t="s">
        <v>74</v>
      </c>
    </row>
    <row r="1326" spans="1:66">
      <c r="A1326">
        <v>101851</v>
      </c>
      <c r="B1326" t="s">
        <v>331</v>
      </c>
      <c r="C1326" s="1">
        <v>43300101</v>
      </c>
      <c r="D1326" t="s">
        <v>67</v>
      </c>
      <c r="H1326" t="str">
        <f t="shared" si="171"/>
        <v>11667890153</v>
      </c>
      <c r="I1326" t="str">
        <f t="shared" si="171"/>
        <v>11667890153</v>
      </c>
      <c r="K1326" t="str">
        <f>""</f>
        <v/>
      </c>
      <c r="M1326" t="s">
        <v>68</v>
      </c>
      <c r="N1326" t="str">
        <f t="shared" si="172"/>
        <v>FOR</v>
      </c>
      <c r="O1326" t="s">
        <v>69</v>
      </c>
      <c r="P1326" t="s">
        <v>75</v>
      </c>
      <c r="Q1326">
        <v>2016</v>
      </c>
      <c r="R1326" s="4">
        <v>42580</v>
      </c>
      <c r="S1326" s="2">
        <v>42591</v>
      </c>
      <c r="T1326" s="2">
        <v>42587</v>
      </c>
      <c r="U1326" s="4">
        <v>42647</v>
      </c>
      <c r="V1326" t="s">
        <v>71</v>
      </c>
      <c r="W1326" t="str">
        <f>"         RH/16019667"</f>
        <v xml:space="preserve">         RH/16019667</v>
      </c>
      <c r="X1326" s="1">
        <v>3088.8</v>
      </c>
      <c r="Y1326">
        <v>0</v>
      </c>
      <c r="Z1326" s="5">
        <v>2808</v>
      </c>
      <c r="AA1326" s="3">
        <v>148</v>
      </c>
      <c r="AB1326" s="5">
        <v>415584</v>
      </c>
      <c r="AC1326" s="1">
        <v>2808</v>
      </c>
      <c r="AD1326">
        <v>148</v>
      </c>
      <c r="AE1326" s="1">
        <v>415584</v>
      </c>
      <c r="AF1326">
        <v>280.8</v>
      </c>
      <c r="AJ1326">
        <v>0</v>
      </c>
      <c r="AK1326">
        <v>0</v>
      </c>
      <c r="AL1326">
        <v>0</v>
      </c>
      <c r="AM1326">
        <v>0</v>
      </c>
      <c r="AN1326">
        <v>0</v>
      </c>
      <c r="AO1326">
        <v>0</v>
      </c>
      <c r="AP1326" s="2">
        <v>42831</v>
      </c>
      <c r="AQ1326" t="s">
        <v>72</v>
      </c>
      <c r="AR1326" t="s">
        <v>72</v>
      </c>
      <c r="AS1326">
        <v>669</v>
      </c>
      <c r="AT1326" s="4">
        <v>42795</v>
      </c>
      <c r="AU1326" t="s">
        <v>73</v>
      </c>
      <c r="AV1326">
        <v>669</v>
      </c>
      <c r="AW1326" s="4">
        <v>42795</v>
      </c>
      <c r="BC1326">
        <v>280.8</v>
      </c>
      <c r="BD1326">
        <v>0</v>
      </c>
      <c r="BN1326" t="s">
        <v>74</v>
      </c>
    </row>
    <row r="1327" spans="1:66">
      <c r="A1327">
        <v>101851</v>
      </c>
      <c r="B1327" t="s">
        <v>331</v>
      </c>
      <c r="C1327" s="1">
        <v>43300101</v>
      </c>
      <c r="D1327" t="s">
        <v>67</v>
      </c>
      <c r="H1327" t="str">
        <f t="shared" si="171"/>
        <v>11667890153</v>
      </c>
      <c r="I1327" t="str">
        <f t="shared" si="171"/>
        <v>11667890153</v>
      </c>
      <c r="K1327" t="str">
        <f>""</f>
        <v/>
      </c>
      <c r="M1327" t="s">
        <v>68</v>
      </c>
      <c r="N1327" t="str">
        <f t="shared" si="172"/>
        <v>FOR</v>
      </c>
      <c r="O1327" t="s">
        <v>69</v>
      </c>
      <c r="P1327" t="s">
        <v>75</v>
      </c>
      <c r="Q1327">
        <v>2016</v>
      </c>
      <c r="R1327" s="4">
        <v>42598</v>
      </c>
      <c r="S1327" s="2">
        <v>42612</v>
      </c>
      <c r="T1327" s="2">
        <v>42601</v>
      </c>
      <c r="U1327" s="4">
        <v>42661</v>
      </c>
      <c r="V1327" t="s">
        <v>71</v>
      </c>
      <c r="W1327" t="str">
        <f>"         RH/16021179"</f>
        <v xml:space="preserve">         RH/16021179</v>
      </c>
      <c r="X1327">
        <v>792</v>
      </c>
      <c r="Y1327">
        <v>0</v>
      </c>
      <c r="Z1327" s="5">
        <v>720</v>
      </c>
      <c r="AA1327" s="3">
        <v>134</v>
      </c>
      <c r="AB1327" s="5">
        <v>96480</v>
      </c>
      <c r="AC1327">
        <v>720</v>
      </c>
      <c r="AD1327">
        <v>134</v>
      </c>
      <c r="AE1327" s="1">
        <v>96480</v>
      </c>
      <c r="AF1327">
        <v>72</v>
      </c>
      <c r="AJ1327">
        <v>0</v>
      </c>
      <c r="AK1327">
        <v>0</v>
      </c>
      <c r="AL1327">
        <v>0</v>
      </c>
      <c r="AM1327">
        <v>0</v>
      </c>
      <c r="AN1327">
        <v>0</v>
      </c>
      <c r="AO1327">
        <v>0</v>
      </c>
      <c r="AP1327" s="2">
        <v>42831</v>
      </c>
      <c r="AQ1327" t="s">
        <v>72</v>
      </c>
      <c r="AR1327" t="s">
        <v>72</v>
      </c>
      <c r="AS1327">
        <v>669</v>
      </c>
      <c r="AT1327" s="4">
        <v>42795</v>
      </c>
      <c r="AU1327" t="s">
        <v>73</v>
      </c>
      <c r="AV1327">
        <v>669</v>
      </c>
      <c r="AW1327" s="4">
        <v>42795</v>
      </c>
      <c r="BC1327">
        <v>72</v>
      </c>
      <c r="BD1327">
        <v>0</v>
      </c>
      <c r="BN1327" t="s">
        <v>74</v>
      </c>
    </row>
    <row r="1328" spans="1:66">
      <c r="A1328">
        <v>101851</v>
      </c>
      <c r="B1328" t="s">
        <v>331</v>
      </c>
      <c r="C1328" s="1">
        <v>43300101</v>
      </c>
      <c r="D1328" t="s">
        <v>67</v>
      </c>
      <c r="H1328" t="str">
        <f t="shared" si="171"/>
        <v>11667890153</v>
      </c>
      <c r="I1328" t="str">
        <f t="shared" si="171"/>
        <v>11667890153</v>
      </c>
      <c r="K1328" t="str">
        <f>""</f>
        <v/>
      </c>
      <c r="M1328" t="s">
        <v>68</v>
      </c>
      <c r="N1328" t="str">
        <f t="shared" si="172"/>
        <v>FOR</v>
      </c>
      <c r="O1328" t="s">
        <v>69</v>
      </c>
      <c r="P1328" t="s">
        <v>75</v>
      </c>
      <c r="Q1328">
        <v>2016</v>
      </c>
      <c r="R1328" s="4">
        <v>42619</v>
      </c>
      <c r="S1328" s="2">
        <v>42627</v>
      </c>
      <c r="T1328" s="2">
        <v>42621</v>
      </c>
      <c r="U1328" s="4">
        <v>42681</v>
      </c>
      <c r="V1328" t="s">
        <v>71</v>
      </c>
      <c r="W1328" t="str">
        <f>"         RH/16022553"</f>
        <v xml:space="preserve">         RH/16022553</v>
      </c>
      <c r="X1328">
        <v>242</v>
      </c>
      <c r="Y1328">
        <v>0</v>
      </c>
      <c r="Z1328" s="5">
        <v>220</v>
      </c>
      <c r="AA1328" s="3">
        <v>114</v>
      </c>
      <c r="AB1328" s="5">
        <v>25080</v>
      </c>
      <c r="AC1328">
        <v>220</v>
      </c>
      <c r="AD1328">
        <v>114</v>
      </c>
      <c r="AE1328" s="1">
        <v>25080</v>
      </c>
      <c r="AF1328">
        <v>22</v>
      </c>
      <c r="AJ1328">
        <v>0</v>
      </c>
      <c r="AK1328">
        <v>0</v>
      </c>
      <c r="AL1328">
        <v>0</v>
      </c>
      <c r="AM1328">
        <v>0</v>
      </c>
      <c r="AN1328">
        <v>0</v>
      </c>
      <c r="AO1328">
        <v>0</v>
      </c>
      <c r="AP1328" s="2">
        <v>42831</v>
      </c>
      <c r="AQ1328" t="s">
        <v>72</v>
      </c>
      <c r="AR1328" t="s">
        <v>72</v>
      </c>
      <c r="AS1328">
        <v>669</v>
      </c>
      <c r="AT1328" s="4">
        <v>42795</v>
      </c>
      <c r="AU1328" t="s">
        <v>73</v>
      </c>
      <c r="AV1328">
        <v>669</v>
      </c>
      <c r="AW1328" s="4">
        <v>42795</v>
      </c>
      <c r="BB1328">
        <v>22</v>
      </c>
      <c r="BD1328">
        <v>0</v>
      </c>
      <c r="BN1328" t="s">
        <v>74</v>
      </c>
    </row>
    <row r="1329" spans="1:66">
      <c r="A1329">
        <v>101851</v>
      </c>
      <c r="B1329" t="s">
        <v>331</v>
      </c>
      <c r="C1329" s="1">
        <v>43300101</v>
      </c>
      <c r="D1329" t="s">
        <v>67</v>
      </c>
      <c r="H1329" t="str">
        <f t="shared" si="171"/>
        <v>11667890153</v>
      </c>
      <c r="I1329" t="str">
        <f t="shared" si="171"/>
        <v>11667890153</v>
      </c>
      <c r="K1329" t="str">
        <f>""</f>
        <v/>
      </c>
      <c r="M1329" t="s">
        <v>68</v>
      </c>
      <c r="N1329" t="str">
        <f t="shared" si="172"/>
        <v>FOR</v>
      </c>
      <c r="O1329" t="s">
        <v>69</v>
      </c>
      <c r="P1329" t="s">
        <v>75</v>
      </c>
      <c r="Q1329">
        <v>2016</v>
      </c>
      <c r="R1329" s="4">
        <v>42621</v>
      </c>
      <c r="S1329" s="2">
        <v>42628</v>
      </c>
      <c r="T1329" s="2">
        <v>42625</v>
      </c>
      <c r="U1329" s="4">
        <v>42685</v>
      </c>
      <c r="V1329" t="s">
        <v>71</v>
      </c>
      <c r="W1329" t="str">
        <f>"         RH/16022833"</f>
        <v xml:space="preserve">         RH/16022833</v>
      </c>
      <c r="X1329">
        <v>910.8</v>
      </c>
      <c r="Y1329">
        <v>0</v>
      </c>
      <c r="Z1329" s="5">
        <v>828</v>
      </c>
      <c r="AA1329" s="3">
        <v>110</v>
      </c>
      <c r="AB1329" s="5">
        <v>91080</v>
      </c>
      <c r="AC1329">
        <v>828</v>
      </c>
      <c r="AD1329">
        <v>110</v>
      </c>
      <c r="AE1329" s="1">
        <v>91080</v>
      </c>
      <c r="AF1329">
        <v>82.8</v>
      </c>
      <c r="AJ1329">
        <v>0</v>
      </c>
      <c r="AK1329">
        <v>0</v>
      </c>
      <c r="AL1329">
        <v>0</v>
      </c>
      <c r="AM1329">
        <v>0</v>
      </c>
      <c r="AN1329">
        <v>0</v>
      </c>
      <c r="AO1329">
        <v>0</v>
      </c>
      <c r="AP1329" s="2">
        <v>42831</v>
      </c>
      <c r="AQ1329" t="s">
        <v>72</v>
      </c>
      <c r="AR1329" t="s">
        <v>72</v>
      </c>
      <c r="AS1329">
        <v>669</v>
      </c>
      <c r="AT1329" s="4">
        <v>42795</v>
      </c>
      <c r="AU1329" t="s">
        <v>73</v>
      </c>
      <c r="AV1329">
        <v>669</v>
      </c>
      <c r="AW1329" s="4">
        <v>42795</v>
      </c>
      <c r="BB1329">
        <v>82.8</v>
      </c>
      <c r="BD1329">
        <v>0</v>
      </c>
      <c r="BN1329" t="s">
        <v>74</v>
      </c>
    </row>
    <row r="1330" spans="1:66">
      <c r="A1330">
        <v>101851</v>
      </c>
      <c r="B1330" t="s">
        <v>331</v>
      </c>
      <c r="C1330" s="1">
        <v>43300101</v>
      </c>
      <c r="D1330" t="s">
        <v>67</v>
      </c>
      <c r="H1330" t="str">
        <f t="shared" si="171"/>
        <v>11667890153</v>
      </c>
      <c r="I1330" t="str">
        <f t="shared" si="171"/>
        <v>11667890153</v>
      </c>
      <c r="K1330" t="str">
        <f>""</f>
        <v/>
      </c>
      <c r="M1330" t="s">
        <v>68</v>
      </c>
      <c r="N1330" t="str">
        <f t="shared" si="172"/>
        <v>FOR</v>
      </c>
      <c r="O1330" t="s">
        <v>69</v>
      </c>
      <c r="P1330" t="s">
        <v>75</v>
      </c>
      <c r="Q1330">
        <v>2016</v>
      </c>
      <c r="R1330" s="4">
        <v>42635</v>
      </c>
      <c r="S1330" s="2">
        <v>42642</v>
      </c>
      <c r="T1330" s="2">
        <v>42636</v>
      </c>
      <c r="U1330" s="4">
        <v>42696</v>
      </c>
      <c r="V1330" t="s">
        <v>71</v>
      </c>
      <c r="W1330" t="str">
        <f>"         RH/16023832"</f>
        <v xml:space="preserve">         RH/16023832</v>
      </c>
      <c r="X1330" s="1">
        <v>2574</v>
      </c>
      <c r="Y1330">
        <v>0</v>
      </c>
      <c r="Z1330" s="5">
        <v>2340</v>
      </c>
      <c r="AA1330" s="3">
        <v>99</v>
      </c>
      <c r="AB1330" s="5">
        <v>231660</v>
      </c>
      <c r="AC1330" s="1">
        <v>2340</v>
      </c>
      <c r="AD1330">
        <v>99</v>
      </c>
      <c r="AE1330" s="1">
        <v>231660</v>
      </c>
      <c r="AF1330">
        <v>234</v>
      </c>
      <c r="AJ1330">
        <v>0</v>
      </c>
      <c r="AK1330">
        <v>0</v>
      </c>
      <c r="AL1330">
        <v>0</v>
      </c>
      <c r="AM1330">
        <v>0</v>
      </c>
      <c r="AN1330">
        <v>0</v>
      </c>
      <c r="AO1330">
        <v>0</v>
      </c>
      <c r="AP1330" s="2">
        <v>42831</v>
      </c>
      <c r="AQ1330" t="s">
        <v>72</v>
      </c>
      <c r="AR1330" t="s">
        <v>72</v>
      </c>
      <c r="AS1330">
        <v>669</v>
      </c>
      <c r="AT1330" s="4">
        <v>42795</v>
      </c>
      <c r="AU1330" t="s">
        <v>73</v>
      </c>
      <c r="AV1330">
        <v>669</v>
      </c>
      <c r="AW1330" s="4">
        <v>42795</v>
      </c>
      <c r="BB1330">
        <v>234</v>
      </c>
      <c r="BD1330">
        <v>0</v>
      </c>
      <c r="BN1330" t="s">
        <v>74</v>
      </c>
    </row>
    <row r="1331" spans="1:66">
      <c r="A1331">
        <v>101851</v>
      </c>
      <c r="B1331" t="s">
        <v>331</v>
      </c>
      <c r="C1331" s="1">
        <v>43300101</v>
      </c>
      <c r="D1331" t="s">
        <v>67</v>
      </c>
      <c r="H1331" t="str">
        <f t="shared" si="171"/>
        <v>11667890153</v>
      </c>
      <c r="I1331" t="str">
        <f t="shared" si="171"/>
        <v>11667890153</v>
      </c>
      <c r="K1331" t="str">
        <f>""</f>
        <v/>
      </c>
      <c r="M1331" t="s">
        <v>68</v>
      </c>
      <c r="N1331" t="str">
        <f t="shared" si="172"/>
        <v>FOR</v>
      </c>
      <c r="O1331" t="s">
        <v>69</v>
      </c>
      <c r="P1331" t="s">
        <v>75</v>
      </c>
      <c r="Q1331">
        <v>2016</v>
      </c>
      <c r="R1331" s="4">
        <v>42642</v>
      </c>
      <c r="S1331" s="2">
        <v>42661</v>
      </c>
      <c r="T1331" s="2">
        <v>42657</v>
      </c>
      <c r="U1331" s="4">
        <v>42717</v>
      </c>
      <c r="V1331" t="s">
        <v>71</v>
      </c>
      <c r="W1331" t="str">
        <f>"         RH/16024927"</f>
        <v xml:space="preserve">         RH/16024927</v>
      </c>
      <c r="X1331">
        <v>484</v>
      </c>
      <c r="Y1331">
        <v>0</v>
      </c>
      <c r="Z1331" s="5">
        <v>440</v>
      </c>
      <c r="AA1331" s="3">
        <v>78</v>
      </c>
      <c r="AB1331" s="5">
        <v>34320</v>
      </c>
      <c r="AC1331">
        <v>440</v>
      </c>
      <c r="AD1331">
        <v>78</v>
      </c>
      <c r="AE1331" s="1">
        <v>34320</v>
      </c>
      <c r="AF1331">
        <v>44</v>
      </c>
      <c r="AJ1331">
        <v>0</v>
      </c>
      <c r="AK1331">
        <v>0</v>
      </c>
      <c r="AL1331">
        <v>0</v>
      </c>
      <c r="AM1331">
        <v>0</v>
      </c>
      <c r="AN1331">
        <v>0</v>
      </c>
      <c r="AO1331">
        <v>0</v>
      </c>
      <c r="AP1331" s="2">
        <v>42831</v>
      </c>
      <c r="AQ1331" t="s">
        <v>72</v>
      </c>
      <c r="AR1331" t="s">
        <v>72</v>
      </c>
      <c r="AS1331">
        <v>669</v>
      </c>
      <c r="AT1331" s="4">
        <v>42795</v>
      </c>
      <c r="AU1331" t="s">
        <v>73</v>
      </c>
      <c r="AV1331">
        <v>669</v>
      </c>
      <c r="AW1331" s="4">
        <v>42795</v>
      </c>
      <c r="BA1331">
        <v>44</v>
      </c>
      <c r="BD1331">
        <v>0</v>
      </c>
      <c r="BN1331" t="s">
        <v>74</v>
      </c>
    </row>
    <row r="1332" spans="1:66">
      <c r="A1332">
        <v>101907</v>
      </c>
      <c r="B1332" t="s">
        <v>332</v>
      </c>
      <c r="C1332" s="1">
        <v>43300101</v>
      </c>
      <c r="D1332" t="s">
        <v>67</v>
      </c>
      <c r="H1332" t="str">
        <f>"01347430397"</f>
        <v>01347430397</v>
      </c>
      <c r="I1332" t="str">
        <f>"04310690377"</f>
        <v>04310690377</v>
      </c>
      <c r="K1332" t="str">
        <f>""</f>
        <v/>
      </c>
      <c r="M1332" t="s">
        <v>68</v>
      </c>
      <c r="N1332" t="str">
        <f t="shared" si="172"/>
        <v>FOR</v>
      </c>
      <c r="O1332" t="s">
        <v>69</v>
      </c>
      <c r="P1332" t="s">
        <v>75</v>
      </c>
      <c r="Q1332">
        <v>2016</v>
      </c>
      <c r="R1332" s="4">
        <v>42481</v>
      </c>
      <c r="S1332" s="2">
        <v>42492</v>
      </c>
      <c r="T1332" s="2">
        <v>42481</v>
      </c>
      <c r="U1332" s="4">
        <v>42541</v>
      </c>
      <c r="V1332" t="s">
        <v>71</v>
      </c>
      <c r="W1332" t="str">
        <f>"          222 - FCSP"</f>
        <v xml:space="preserve">          222 - FCSP</v>
      </c>
      <c r="X1332" s="1">
        <v>22923.8</v>
      </c>
      <c r="Y1332">
        <v>0</v>
      </c>
      <c r="Z1332" s="5">
        <v>18790</v>
      </c>
      <c r="AA1332" s="3">
        <v>241</v>
      </c>
      <c r="AB1332" s="5">
        <v>4528390</v>
      </c>
      <c r="AC1332" s="1">
        <v>18790</v>
      </c>
      <c r="AD1332">
        <v>241</v>
      </c>
      <c r="AE1332" s="1">
        <v>4528390</v>
      </c>
      <c r="AF1332">
        <v>0</v>
      </c>
      <c r="AJ1332">
        <v>0</v>
      </c>
      <c r="AK1332">
        <v>0</v>
      </c>
      <c r="AL1332">
        <v>0</v>
      </c>
      <c r="AM1332">
        <v>0</v>
      </c>
      <c r="AN1332">
        <v>0</v>
      </c>
      <c r="AO1332">
        <v>0</v>
      </c>
      <c r="AP1332" s="2">
        <v>42831</v>
      </c>
      <c r="AQ1332" t="s">
        <v>72</v>
      </c>
      <c r="AR1332" t="s">
        <v>72</v>
      </c>
      <c r="AS1332">
        <v>482</v>
      </c>
      <c r="AT1332" s="4">
        <v>42782</v>
      </c>
      <c r="AU1332" t="s">
        <v>73</v>
      </c>
      <c r="AV1332">
        <v>482</v>
      </c>
      <c r="AW1332" s="4">
        <v>42782</v>
      </c>
      <c r="BD1332">
        <v>0</v>
      </c>
      <c r="BN1332" t="s">
        <v>74</v>
      </c>
    </row>
    <row r="1333" spans="1:66">
      <c r="A1333">
        <v>101907</v>
      </c>
      <c r="B1333" t="s">
        <v>332</v>
      </c>
      <c r="C1333" s="1">
        <v>43300101</v>
      </c>
      <c r="D1333" t="s">
        <v>67</v>
      </c>
      <c r="H1333" t="str">
        <f>"01347430397"</f>
        <v>01347430397</v>
      </c>
      <c r="I1333" t="str">
        <f>"04310690377"</f>
        <v>04310690377</v>
      </c>
      <c r="K1333" t="str">
        <f>""</f>
        <v/>
      </c>
      <c r="M1333" t="s">
        <v>68</v>
      </c>
      <c r="N1333" t="str">
        <f t="shared" si="172"/>
        <v>FOR</v>
      </c>
      <c r="O1333" t="s">
        <v>69</v>
      </c>
      <c r="P1333" t="s">
        <v>75</v>
      </c>
      <c r="Q1333">
        <v>2016</v>
      </c>
      <c r="R1333" s="4">
        <v>42489</v>
      </c>
      <c r="S1333" s="2">
        <v>42502</v>
      </c>
      <c r="T1333" s="2">
        <v>42502</v>
      </c>
      <c r="U1333" s="4">
        <v>42562</v>
      </c>
      <c r="V1333" t="s">
        <v>71</v>
      </c>
      <c r="W1333" t="str">
        <f>"          239 - FCSP"</f>
        <v xml:space="preserve">          239 - FCSP</v>
      </c>
      <c r="X1333" s="1">
        <v>48678</v>
      </c>
      <c r="Y1333">
        <v>0</v>
      </c>
      <c r="Z1333" s="5">
        <v>39900</v>
      </c>
      <c r="AA1333" s="3">
        <v>220</v>
      </c>
      <c r="AB1333" s="5">
        <v>8778000</v>
      </c>
      <c r="AC1333" s="1">
        <v>39900</v>
      </c>
      <c r="AD1333">
        <v>220</v>
      </c>
      <c r="AE1333" s="1">
        <v>8778000</v>
      </c>
      <c r="AF1333">
        <v>0</v>
      </c>
      <c r="AJ1333">
        <v>0</v>
      </c>
      <c r="AK1333">
        <v>0</v>
      </c>
      <c r="AL1333">
        <v>0</v>
      </c>
      <c r="AM1333">
        <v>0</v>
      </c>
      <c r="AN1333">
        <v>0</v>
      </c>
      <c r="AO1333">
        <v>0</v>
      </c>
      <c r="AP1333" s="2">
        <v>42831</v>
      </c>
      <c r="AQ1333" t="s">
        <v>72</v>
      </c>
      <c r="AR1333" t="s">
        <v>72</v>
      </c>
      <c r="AS1333">
        <v>482</v>
      </c>
      <c r="AT1333" s="4">
        <v>42782</v>
      </c>
      <c r="AU1333" t="s">
        <v>73</v>
      </c>
      <c r="AV1333">
        <v>482</v>
      </c>
      <c r="AW1333" s="4">
        <v>42782</v>
      </c>
      <c r="BD1333">
        <v>0</v>
      </c>
      <c r="BN1333" t="s">
        <v>74</v>
      </c>
    </row>
    <row r="1334" spans="1:66">
      <c r="A1334">
        <v>101907</v>
      </c>
      <c r="B1334" t="s">
        <v>332</v>
      </c>
      <c r="C1334" s="1">
        <v>43300101</v>
      </c>
      <c r="D1334" t="s">
        <v>67</v>
      </c>
      <c r="H1334" t="str">
        <f>"01347430397"</f>
        <v>01347430397</v>
      </c>
      <c r="I1334" t="str">
        <f>"04310690377"</f>
        <v>04310690377</v>
      </c>
      <c r="K1334" t="str">
        <f>""</f>
        <v/>
      </c>
      <c r="M1334" t="s">
        <v>68</v>
      </c>
      <c r="N1334" t="str">
        <f t="shared" si="172"/>
        <v>FOR</v>
      </c>
      <c r="O1334" t="s">
        <v>69</v>
      </c>
      <c r="P1334" t="s">
        <v>75</v>
      </c>
      <c r="Q1334">
        <v>2016</v>
      </c>
      <c r="R1334" s="4">
        <v>42489</v>
      </c>
      <c r="S1334" s="2">
        <v>42502</v>
      </c>
      <c r="T1334" s="2">
        <v>42502</v>
      </c>
      <c r="U1334" s="4">
        <v>42562</v>
      </c>
      <c r="V1334" t="s">
        <v>71</v>
      </c>
      <c r="W1334" t="str">
        <f>"          240 - FCSP"</f>
        <v xml:space="preserve">          240 - FCSP</v>
      </c>
      <c r="X1334" s="1">
        <v>13932.4</v>
      </c>
      <c r="Y1334">
        <v>0</v>
      </c>
      <c r="Z1334" s="5">
        <v>11420</v>
      </c>
      <c r="AA1334" s="3">
        <v>220</v>
      </c>
      <c r="AB1334" s="5">
        <v>2512400</v>
      </c>
      <c r="AC1334" s="1">
        <v>11420</v>
      </c>
      <c r="AD1334">
        <v>220</v>
      </c>
      <c r="AE1334" s="1">
        <v>2512400</v>
      </c>
      <c r="AF1334">
        <v>0</v>
      </c>
      <c r="AJ1334">
        <v>0</v>
      </c>
      <c r="AK1334">
        <v>0</v>
      </c>
      <c r="AL1334">
        <v>0</v>
      </c>
      <c r="AM1334">
        <v>0</v>
      </c>
      <c r="AN1334">
        <v>0</v>
      </c>
      <c r="AO1334">
        <v>0</v>
      </c>
      <c r="AP1334" s="2">
        <v>42831</v>
      </c>
      <c r="AQ1334" t="s">
        <v>72</v>
      </c>
      <c r="AR1334" t="s">
        <v>72</v>
      </c>
      <c r="AS1334">
        <v>482</v>
      </c>
      <c r="AT1334" s="4">
        <v>42782</v>
      </c>
      <c r="AU1334" t="s">
        <v>73</v>
      </c>
      <c r="AV1334">
        <v>482</v>
      </c>
      <c r="AW1334" s="4">
        <v>42782</v>
      </c>
      <c r="BD1334">
        <v>0</v>
      </c>
      <c r="BN1334" t="s">
        <v>74</v>
      </c>
    </row>
    <row r="1335" spans="1:66">
      <c r="A1335">
        <v>101934</v>
      </c>
      <c r="B1335" t="s">
        <v>333</v>
      </c>
      <c r="C1335" s="1">
        <v>43300101</v>
      </c>
      <c r="D1335" t="s">
        <v>67</v>
      </c>
      <c r="H1335" t="str">
        <f t="shared" ref="H1335:I1354" si="173">"06175550638"</f>
        <v>06175550638</v>
      </c>
      <c r="I1335" t="str">
        <f t="shared" si="173"/>
        <v>06175550638</v>
      </c>
      <c r="K1335" t="str">
        <f>""</f>
        <v/>
      </c>
      <c r="M1335" t="s">
        <v>68</v>
      </c>
      <c r="N1335" t="str">
        <f t="shared" si="172"/>
        <v>FOR</v>
      </c>
      <c r="O1335" t="s">
        <v>69</v>
      </c>
      <c r="P1335" t="s">
        <v>75</v>
      </c>
      <c r="Q1335">
        <v>2016</v>
      </c>
      <c r="R1335" s="4">
        <v>42453</v>
      </c>
      <c r="S1335" s="2">
        <v>42453</v>
      </c>
      <c r="T1335" s="2">
        <v>42453</v>
      </c>
      <c r="U1335" s="4">
        <v>42513</v>
      </c>
      <c r="V1335" t="s">
        <v>71</v>
      </c>
      <c r="W1335" t="str">
        <f>"              190/PA"</f>
        <v xml:space="preserve">              190/PA</v>
      </c>
      <c r="X1335">
        <v>150.80000000000001</v>
      </c>
      <c r="Y1335">
        <v>0</v>
      </c>
      <c r="Z1335" s="5">
        <v>145</v>
      </c>
      <c r="AA1335" s="3">
        <v>255</v>
      </c>
      <c r="AB1335" s="5">
        <v>36975</v>
      </c>
      <c r="AC1335">
        <v>145</v>
      </c>
      <c r="AD1335">
        <v>255</v>
      </c>
      <c r="AE1335" s="1">
        <v>36975</v>
      </c>
      <c r="AF1335">
        <v>0</v>
      </c>
      <c r="AJ1335">
        <v>0</v>
      </c>
      <c r="AK1335">
        <v>0</v>
      </c>
      <c r="AL1335">
        <v>0</v>
      </c>
      <c r="AM1335">
        <v>0</v>
      </c>
      <c r="AN1335">
        <v>0</v>
      </c>
      <c r="AO1335">
        <v>0</v>
      </c>
      <c r="AP1335" s="2">
        <v>42831</v>
      </c>
      <c r="AQ1335" t="s">
        <v>72</v>
      </c>
      <c r="AR1335" t="s">
        <v>72</v>
      </c>
      <c r="AS1335">
        <v>205</v>
      </c>
      <c r="AT1335" s="4">
        <v>42768</v>
      </c>
      <c r="AU1335" t="s">
        <v>73</v>
      </c>
      <c r="AV1335">
        <v>205</v>
      </c>
      <c r="AW1335" s="4">
        <v>42768</v>
      </c>
      <c r="BD1335">
        <v>0</v>
      </c>
      <c r="BN1335" t="s">
        <v>74</v>
      </c>
    </row>
    <row r="1336" spans="1:66">
      <c r="A1336">
        <v>101934</v>
      </c>
      <c r="B1336" t="s">
        <v>333</v>
      </c>
      <c r="C1336" s="1">
        <v>43300101</v>
      </c>
      <c r="D1336" t="s">
        <v>67</v>
      </c>
      <c r="H1336" t="str">
        <f t="shared" si="173"/>
        <v>06175550638</v>
      </c>
      <c r="I1336" t="str">
        <f t="shared" si="173"/>
        <v>06175550638</v>
      </c>
      <c r="K1336" t="str">
        <f>""</f>
        <v/>
      </c>
      <c r="M1336" t="s">
        <v>68</v>
      </c>
      <c r="N1336" t="str">
        <f t="shared" si="172"/>
        <v>FOR</v>
      </c>
      <c r="O1336" t="s">
        <v>69</v>
      </c>
      <c r="P1336" t="s">
        <v>75</v>
      </c>
      <c r="Q1336">
        <v>2016</v>
      </c>
      <c r="R1336" s="4">
        <v>42453</v>
      </c>
      <c r="S1336" s="2">
        <v>42457</v>
      </c>
      <c r="T1336" s="2">
        <v>42453</v>
      </c>
      <c r="U1336" s="4">
        <v>42513</v>
      </c>
      <c r="V1336" t="s">
        <v>71</v>
      </c>
      <c r="W1336" t="str">
        <f>"              191/PA"</f>
        <v xml:space="preserve">              191/PA</v>
      </c>
      <c r="X1336">
        <v>150.80000000000001</v>
      </c>
      <c r="Y1336">
        <v>0</v>
      </c>
      <c r="Z1336" s="5">
        <v>145</v>
      </c>
      <c r="AA1336" s="3">
        <v>255</v>
      </c>
      <c r="AB1336" s="5">
        <v>36975</v>
      </c>
      <c r="AC1336">
        <v>145</v>
      </c>
      <c r="AD1336">
        <v>255</v>
      </c>
      <c r="AE1336" s="1">
        <v>36975</v>
      </c>
      <c r="AF1336">
        <v>0</v>
      </c>
      <c r="AJ1336">
        <v>0</v>
      </c>
      <c r="AK1336">
        <v>0</v>
      </c>
      <c r="AL1336">
        <v>0</v>
      </c>
      <c r="AM1336">
        <v>0</v>
      </c>
      <c r="AN1336">
        <v>0</v>
      </c>
      <c r="AO1336">
        <v>0</v>
      </c>
      <c r="AP1336" s="2">
        <v>42831</v>
      </c>
      <c r="AQ1336" t="s">
        <v>72</v>
      </c>
      <c r="AR1336" t="s">
        <v>72</v>
      </c>
      <c r="AS1336">
        <v>205</v>
      </c>
      <c r="AT1336" s="4">
        <v>42768</v>
      </c>
      <c r="AU1336" t="s">
        <v>73</v>
      </c>
      <c r="AV1336">
        <v>205</v>
      </c>
      <c r="AW1336" s="4">
        <v>42768</v>
      </c>
      <c r="BD1336">
        <v>0</v>
      </c>
      <c r="BN1336" t="s">
        <v>74</v>
      </c>
    </row>
    <row r="1337" spans="1:66">
      <c r="A1337">
        <v>101934</v>
      </c>
      <c r="B1337" t="s">
        <v>333</v>
      </c>
      <c r="C1337" s="1">
        <v>43300101</v>
      </c>
      <c r="D1337" t="s">
        <v>67</v>
      </c>
      <c r="H1337" t="str">
        <f t="shared" si="173"/>
        <v>06175550638</v>
      </c>
      <c r="I1337" t="str">
        <f t="shared" si="173"/>
        <v>06175550638</v>
      </c>
      <c r="K1337" t="str">
        <f>""</f>
        <v/>
      </c>
      <c r="M1337" t="s">
        <v>68</v>
      </c>
      <c r="N1337" t="str">
        <f t="shared" si="172"/>
        <v>FOR</v>
      </c>
      <c r="O1337" t="s">
        <v>69</v>
      </c>
      <c r="P1337" t="s">
        <v>75</v>
      </c>
      <c r="Q1337">
        <v>2016</v>
      </c>
      <c r="R1337" s="4">
        <v>42453</v>
      </c>
      <c r="S1337" s="2">
        <v>42457</v>
      </c>
      <c r="T1337" s="2">
        <v>42453</v>
      </c>
      <c r="U1337" s="4">
        <v>42513</v>
      </c>
      <c r="V1337" t="s">
        <v>71</v>
      </c>
      <c r="W1337" t="str">
        <f>"              192/PA"</f>
        <v xml:space="preserve">              192/PA</v>
      </c>
      <c r="X1337">
        <v>150.80000000000001</v>
      </c>
      <c r="Y1337">
        <v>0</v>
      </c>
      <c r="Z1337" s="5">
        <v>145</v>
      </c>
      <c r="AA1337" s="3">
        <v>255</v>
      </c>
      <c r="AB1337" s="5">
        <v>36975</v>
      </c>
      <c r="AC1337">
        <v>145</v>
      </c>
      <c r="AD1337">
        <v>255</v>
      </c>
      <c r="AE1337" s="1">
        <v>36975</v>
      </c>
      <c r="AF1337">
        <v>0</v>
      </c>
      <c r="AJ1337">
        <v>0</v>
      </c>
      <c r="AK1337">
        <v>0</v>
      </c>
      <c r="AL1337">
        <v>0</v>
      </c>
      <c r="AM1337">
        <v>0</v>
      </c>
      <c r="AN1337">
        <v>0</v>
      </c>
      <c r="AO1337">
        <v>0</v>
      </c>
      <c r="AP1337" s="2">
        <v>42831</v>
      </c>
      <c r="AQ1337" t="s">
        <v>72</v>
      </c>
      <c r="AR1337" t="s">
        <v>72</v>
      </c>
      <c r="AS1337">
        <v>205</v>
      </c>
      <c r="AT1337" s="4">
        <v>42768</v>
      </c>
      <c r="AU1337" t="s">
        <v>73</v>
      </c>
      <c r="AV1337">
        <v>205</v>
      </c>
      <c r="AW1337" s="4">
        <v>42768</v>
      </c>
      <c r="BD1337">
        <v>0</v>
      </c>
      <c r="BN1337" t="s">
        <v>74</v>
      </c>
    </row>
    <row r="1338" spans="1:66">
      <c r="A1338">
        <v>101934</v>
      </c>
      <c r="B1338" t="s">
        <v>333</v>
      </c>
      <c r="C1338" s="1">
        <v>43300101</v>
      </c>
      <c r="D1338" t="s">
        <v>67</v>
      </c>
      <c r="H1338" t="str">
        <f t="shared" si="173"/>
        <v>06175550638</v>
      </c>
      <c r="I1338" t="str">
        <f t="shared" si="173"/>
        <v>06175550638</v>
      </c>
      <c r="K1338" t="str">
        <f>""</f>
        <v/>
      </c>
      <c r="M1338" t="s">
        <v>68</v>
      </c>
      <c r="N1338" t="str">
        <f t="shared" si="172"/>
        <v>FOR</v>
      </c>
      <c r="O1338" t="s">
        <v>69</v>
      </c>
      <c r="P1338" t="s">
        <v>75</v>
      </c>
      <c r="Q1338">
        <v>2016</v>
      </c>
      <c r="R1338" s="4">
        <v>42453</v>
      </c>
      <c r="S1338" s="2">
        <v>42642</v>
      </c>
      <c r="T1338" s="2">
        <v>42636</v>
      </c>
      <c r="U1338" s="4">
        <v>42696</v>
      </c>
      <c r="V1338" t="s">
        <v>71</v>
      </c>
      <c r="W1338" t="str">
        <f>"              193/PA"</f>
        <v xml:space="preserve">              193/PA</v>
      </c>
      <c r="X1338">
        <v>150.80000000000001</v>
      </c>
      <c r="Y1338">
        <v>0</v>
      </c>
      <c r="Z1338" s="5">
        <v>145</v>
      </c>
      <c r="AA1338" s="3">
        <v>72</v>
      </c>
      <c r="AB1338" s="5">
        <v>10440</v>
      </c>
      <c r="AC1338">
        <v>145</v>
      </c>
      <c r="AD1338">
        <v>72</v>
      </c>
      <c r="AE1338" s="1">
        <v>10440</v>
      </c>
      <c r="AF1338">
        <v>0</v>
      </c>
      <c r="AJ1338">
        <v>0</v>
      </c>
      <c r="AK1338">
        <v>0</v>
      </c>
      <c r="AL1338">
        <v>0</v>
      </c>
      <c r="AM1338">
        <v>0</v>
      </c>
      <c r="AN1338">
        <v>0</v>
      </c>
      <c r="AO1338">
        <v>0</v>
      </c>
      <c r="AP1338" s="2">
        <v>42831</v>
      </c>
      <c r="AQ1338" t="s">
        <v>72</v>
      </c>
      <c r="AR1338" t="s">
        <v>72</v>
      </c>
      <c r="AS1338">
        <v>205</v>
      </c>
      <c r="AT1338" s="4">
        <v>42768</v>
      </c>
      <c r="AU1338" t="s">
        <v>73</v>
      </c>
      <c r="AV1338">
        <v>205</v>
      </c>
      <c r="AW1338" s="4">
        <v>42768</v>
      </c>
      <c r="BD1338">
        <v>0</v>
      </c>
      <c r="BN1338" t="s">
        <v>74</v>
      </c>
    </row>
    <row r="1339" spans="1:66">
      <c r="A1339">
        <v>101934</v>
      </c>
      <c r="B1339" t="s">
        <v>333</v>
      </c>
      <c r="C1339" s="1">
        <v>43300101</v>
      </c>
      <c r="D1339" t="s">
        <v>67</v>
      </c>
      <c r="H1339" t="str">
        <f t="shared" si="173"/>
        <v>06175550638</v>
      </c>
      <c r="I1339" t="str">
        <f t="shared" si="173"/>
        <v>06175550638</v>
      </c>
      <c r="K1339" t="str">
        <f>""</f>
        <v/>
      </c>
      <c r="M1339" t="s">
        <v>68</v>
      </c>
      <c r="N1339" t="str">
        <f t="shared" si="172"/>
        <v>FOR</v>
      </c>
      <c r="O1339" t="s">
        <v>69</v>
      </c>
      <c r="P1339" t="s">
        <v>75</v>
      </c>
      <c r="Q1339">
        <v>2016</v>
      </c>
      <c r="R1339" s="4">
        <v>42453</v>
      </c>
      <c r="S1339" s="2">
        <v>42457</v>
      </c>
      <c r="T1339" s="2">
        <v>42453</v>
      </c>
      <c r="U1339" s="4">
        <v>42513</v>
      </c>
      <c r="V1339" t="s">
        <v>71</v>
      </c>
      <c r="W1339" t="str">
        <f>"              194/PA"</f>
        <v xml:space="preserve">              194/PA</v>
      </c>
      <c r="X1339">
        <v>150.80000000000001</v>
      </c>
      <c r="Y1339">
        <v>0</v>
      </c>
      <c r="Z1339" s="5">
        <v>145</v>
      </c>
      <c r="AA1339" s="3">
        <v>255</v>
      </c>
      <c r="AB1339" s="5">
        <v>36975</v>
      </c>
      <c r="AC1339">
        <v>145</v>
      </c>
      <c r="AD1339">
        <v>255</v>
      </c>
      <c r="AE1339" s="1">
        <v>36975</v>
      </c>
      <c r="AF1339">
        <v>0</v>
      </c>
      <c r="AJ1339">
        <v>0</v>
      </c>
      <c r="AK1339">
        <v>0</v>
      </c>
      <c r="AL1339">
        <v>0</v>
      </c>
      <c r="AM1339">
        <v>0</v>
      </c>
      <c r="AN1339">
        <v>0</v>
      </c>
      <c r="AO1339">
        <v>0</v>
      </c>
      <c r="AP1339" s="2">
        <v>42831</v>
      </c>
      <c r="AQ1339" t="s">
        <v>72</v>
      </c>
      <c r="AR1339" t="s">
        <v>72</v>
      </c>
      <c r="AS1339">
        <v>205</v>
      </c>
      <c r="AT1339" s="4">
        <v>42768</v>
      </c>
      <c r="AU1339" t="s">
        <v>73</v>
      </c>
      <c r="AV1339">
        <v>205</v>
      </c>
      <c r="AW1339" s="4">
        <v>42768</v>
      </c>
      <c r="BD1339">
        <v>0</v>
      </c>
      <c r="BN1339" t="s">
        <v>74</v>
      </c>
    </row>
    <row r="1340" spans="1:66">
      <c r="A1340">
        <v>101934</v>
      </c>
      <c r="B1340" t="s">
        <v>333</v>
      </c>
      <c r="C1340" s="1">
        <v>43300101</v>
      </c>
      <c r="D1340" t="s">
        <v>67</v>
      </c>
      <c r="H1340" t="str">
        <f t="shared" si="173"/>
        <v>06175550638</v>
      </c>
      <c r="I1340" t="str">
        <f t="shared" si="173"/>
        <v>06175550638</v>
      </c>
      <c r="K1340" t="str">
        <f>""</f>
        <v/>
      </c>
      <c r="M1340" t="s">
        <v>68</v>
      </c>
      <c r="N1340" t="str">
        <f t="shared" si="172"/>
        <v>FOR</v>
      </c>
      <c r="O1340" t="s">
        <v>69</v>
      </c>
      <c r="P1340" t="s">
        <v>75</v>
      </c>
      <c r="Q1340">
        <v>2016</v>
      </c>
      <c r="R1340" s="4">
        <v>42453</v>
      </c>
      <c r="S1340" s="2">
        <v>42457</v>
      </c>
      <c r="T1340" s="2">
        <v>42453</v>
      </c>
      <c r="U1340" s="4">
        <v>42513</v>
      </c>
      <c r="V1340" t="s">
        <v>71</v>
      </c>
      <c r="W1340" t="str">
        <f>"              195/PA"</f>
        <v xml:space="preserve">              195/PA</v>
      </c>
      <c r="X1340">
        <v>150.80000000000001</v>
      </c>
      <c r="Y1340">
        <v>0</v>
      </c>
      <c r="Z1340" s="5">
        <v>145</v>
      </c>
      <c r="AA1340" s="3">
        <v>255</v>
      </c>
      <c r="AB1340" s="5">
        <v>36975</v>
      </c>
      <c r="AC1340">
        <v>145</v>
      </c>
      <c r="AD1340">
        <v>255</v>
      </c>
      <c r="AE1340" s="1">
        <v>36975</v>
      </c>
      <c r="AF1340">
        <v>0</v>
      </c>
      <c r="AJ1340">
        <v>0</v>
      </c>
      <c r="AK1340">
        <v>0</v>
      </c>
      <c r="AL1340">
        <v>0</v>
      </c>
      <c r="AM1340">
        <v>0</v>
      </c>
      <c r="AN1340">
        <v>0</v>
      </c>
      <c r="AO1340">
        <v>0</v>
      </c>
      <c r="AP1340" s="2">
        <v>42831</v>
      </c>
      <c r="AQ1340" t="s">
        <v>72</v>
      </c>
      <c r="AR1340" t="s">
        <v>72</v>
      </c>
      <c r="AS1340">
        <v>205</v>
      </c>
      <c r="AT1340" s="4">
        <v>42768</v>
      </c>
      <c r="AU1340" t="s">
        <v>73</v>
      </c>
      <c r="AV1340">
        <v>205</v>
      </c>
      <c r="AW1340" s="4">
        <v>42768</v>
      </c>
      <c r="BD1340">
        <v>0</v>
      </c>
      <c r="BN1340" t="s">
        <v>74</v>
      </c>
    </row>
    <row r="1341" spans="1:66">
      <c r="A1341">
        <v>101934</v>
      </c>
      <c r="B1341" t="s">
        <v>333</v>
      </c>
      <c r="C1341" s="1">
        <v>43300101</v>
      </c>
      <c r="D1341" t="s">
        <v>67</v>
      </c>
      <c r="H1341" t="str">
        <f t="shared" si="173"/>
        <v>06175550638</v>
      </c>
      <c r="I1341" t="str">
        <f t="shared" si="173"/>
        <v>06175550638</v>
      </c>
      <c r="K1341" t="str">
        <f>""</f>
        <v/>
      </c>
      <c r="M1341" t="s">
        <v>68</v>
      </c>
      <c r="N1341" t="str">
        <f t="shared" si="172"/>
        <v>FOR</v>
      </c>
      <c r="O1341" t="s">
        <v>69</v>
      </c>
      <c r="P1341" t="s">
        <v>75</v>
      </c>
      <c r="Q1341">
        <v>2016</v>
      </c>
      <c r="R1341" s="4">
        <v>42459</v>
      </c>
      <c r="S1341" s="2">
        <v>42464</v>
      </c>
      <c r="T1341" s="2">
        <v>42460</v>
      </c>
      <c r="U1341" s="4">
        <v>42520</v>
      </c>
      <c r="V1341" t="s">
        <v>71</v>
      </c>
      <c r="W1341" t="str">
        <f>"              203/PA"</f>
        <v xml:space="preserve">              203/PA</v>
      </c>
      <c r="X1341">
        <v>150.80000000000001</v>
      </c>
      <c r="Y1341">
        <v>0</v>
      </c>
      <c r="Z1341" s="5">
        <v>145</v>
      </c>
      <c r="AA1341" s="3">
        <v>248</v>
      </c>
      <c r="AB1341" s="5">
        <v>35960</v>
      </c>
      <c r="AC1341">
        <v>145</v>
      </c>
      <c r="AD1341">
        <v>248</v>
      </c>
      <c r="AE1341" s="1">
        <v>35960</v>
      </c>
      <c r="AF1341">
        <v>0</v>
      </c>
      <c r="AJ1341">
        <v>0</v>
      </c>
      <c r="AK1341">
        <v>0</v>
      </c>
      <c r="AL1341">
        <v>0</v>
      </c>
      <c r="AM1341">
        <v>0</v>
      </c>
      <c r="AN1341">
        <v>0</v>
      </c>
      <c r="AO1341">
        <v>0</v>
      </c>
      <c r="AP1341" s="2">
        <v>42831</v>
      </c>
      <c r="AQ1341" t="s">
        <v>72</v>
      </c>
      <c r="AR1341" t="s">
        <v>72</v>
      </c>
      <c r="AS1341">
        <v>205</v>
      </c>
      <c r="AT1341" s="4">
        <v>42768</v>
      </c>
      <c r="AU1341" t="s">
        <v>73</v>
      </c>
      <c r="AV1341">
        <v>205</v>
      </c>
      <c r="AW1341" s="4">
        <v>42768</v>
      </c>
      <c r="BD1341">
        <v>0</v>
      </c>
      <c r="BN1341" t="s">
        <v>74</v>
      </c>
    </row>
    <row r="1342" spans="1:66">
      <c r="A1342">
        <v>101934</v>
      </c>
      <c r="B1342" t="s">
        <v>333</v>
      </c>
      <c r="C1342" s="1">
        <v>43300101</v>
      </c>
      <c r="D1342" t="s">
        <v>67</v>
      </c>
      <c r="H1342" t="str">
        <f t="shared" si="173"/>
        <v>06175550638</v>
      </c>
      <c r="I1342" t="str">
        <f t="shared" si="173"/>
        <v>06175550638</v>
      </c>
      <c r="K1342" t="str">
        <f>""</f>
        <v/>
      </c>
      <c r="M1342" t="s">
        <v>68</v>
      </c>
      <c r="N1342" t="str">
        <f t="shared" si="172"/>
        <v>FOR</v>
      </c>
      <c r="O1342" t="s">
        <v>69</v>
      </c>
      <c r="P1342" t="s">
        <v>75</v>
      </c>
      <c r="Q1342">
        <v>2016</v>
      </c>
      <c r="R1342" s="4">
        <v>42459</v>
      </c>
      <c r="S1342" s="2">
        <v>42464</v>
      </c>
      <c r="T1342" s="2">
        <v>42460</v>
      </c>
      <c r="U1342" s="4">
        <v>42520</v>
      </c>
      <c r="V1342" t="s">
        <v>71</v>
      </c>
      <c r="W1342" t="str">
        <f>"              204/PA"</f>
        <v xml:space="preserve">              204/PA</v>
      </c>
      <c r="X1342">
        <v>150.80000000000001</v>
      </c>
      <c r="Y1342">
        <v>0</v>
      </c>
      <c r="Z1342" s="5">
        <v>145</v>
      </c>
      <c r="AA1342" s="3">
        <v>248</v>
      </c>
      <c r="AB1342" s="5">
        <v>35960</v>
      </c>
      <c r="AC1342">
        <v>145</v>
      </c>
      <c r="AD1342">
        <v>248</v>
      </c>
      <c r="AE1342" s="1">
        <v>35960</v>
      </c>
      <c r="AF1342">
        <v>0</v>
      </c>
      <c r="AJ1342">
        <v>0</v>
      </c>
      <c r="AK1342">
        <v>0</v>
      </c>
      <c r="AL1342">
        <v>0</v>
      </c>
      <c r="AM1342">
        <v>0</v>
      </c>
      <c r="AN1342">
        <v>0</v>
      </c>
      <c r="AO1342">
        <v>0</v>
      </c>
      <c r="AP1342" s="2">
        <v>42831</v>
      </c>
      <c r="AQ1342" t="s">
        <v>72</v>
      </c>
      <c r="AR1342" t="s">
        <v>72</v>
      </c>
      <c r="AS1342">
        <v>205</v>
      </c>
      <c r="AT1342" s="4">
        <v>42768</v>
      </c>
      <c r="AU1342" t="s">
        <v>73</v>
      </c>
      <c r="AV1342">
        <v>205</v>
      </c>
      <c r="AW1342" s="4">
        <v>42768</v>
      </c>
      <c r="BD1342">
        <v>0</v>
      </c>
      <c r="BN1342" t="s">
        <v>74</v>
      </c>
    </row>
    <row r="1343" spans="1:66">
      <c r="A1343">
        <v>101934</v>
      </c>
      <c r="B1343" t="s">
        <v>333</v>
      </c>
      <c r="C1343" s="1">
        <v>43300101</v>
      </c>
      <c r="D1343" t="s">
        <v>67</v>
      </c>
      <c r="H1343" t="str">
        <f t="shared" si="173"/>
        <v>06175550638</v>
      </c>
      <c r="I1343" t="str">
        <f t="shared" si="173"/>
        <v>06175550638</v>
      </c>
      <c r="K1343" t="str">
        <f>""</f>
        <v/>
      </c>
      <c r="M1343" t="s">
        <v>68</v>
      </c>
      <c r="N1343" t="str">
        <f t="shared" si="172"/>
        <v>FOR</v>
      </c>
      <c r="O1343" t="s">
        <v>69</v>
      </c>
      <c r="P1343" t="s">
        <v>75</v>
      </c>
      <c r="Q1343">
        <v>2016</v>
      </c>
      <c r="R1343" s="4">
        <v>42459</v>
      </c>
      <c r="S1343" s="2">
        <v>42464</v>
      </c>
      <c r="T1343" s="2">
        <v>42460</v>
      </c>
      <c r="U1343" s="4">
        <v>42520</v>
      </c>
      <c r="V1343" t="s">
        <v>71</v>
      </c>
      <c r="W1343" t="str">
        <f>"              205/PA"</f>
        <v xml:space="preserve">              205/PA</v>
      </c>
      <c r="X1343">
        <v>150.80000000000001</v>
      </c>
      <c r="Y1343">
        <v>0</v>
      </c>
      <c r="Z1343" s="5">
        <v>145</v>
      </c>
      <c r="AA1343" s="3">
        <v>248</v>
      </c>
      <c r="AB1343" s="5">
        <v>35960</v>
      </c>
      <c r="AC1343">
        <v>145</v>
      </c>
      <c r="AD1343">
        <v>248</v>
      </c>
      <c r="AE1343" s="1">
        <v>35960</v>
      </c>
      <c r="AF1343">
        <v>0</v>
      </c>
      <c r="AJ1343">
        <v>0</v>
      </c>
      <c r="AK1343">
        <v>0</v>
      </c>
      <c r="AL1343">
        <v>0</v>
      </c>
      <c r="AM1343">
        <v>0</v>
      </c>
      <c r="AN1343">
        <v>0</v>
      </c>
      <c r="AO1343">
        <v>0</v>
      </c>
      <c r="AP1343" s="2">
        <v>42831</v>
      </c>
      <c r="AQ1343" t="s">
        <v>72</v>
      </c>
      <c r="AR1343" t="s">
        <v>72</v>
      </c>
      <c r="AS1343">
        <v>205</v>
      </c>
      <c r="AT1343" s="4">
        <v>42768</v>
      </c>
      <c r="AU1343" t="s">
        <v>73</v>
      </c>
      <c r="AV1343">
        <v>205</v>
      </c>
      <c r="AW1343" s="4">
        <v>42768</v>
      </c>
      <c r="BD1343">
        <v>0</v>
      </c>
      <c r="BN1343" t="s">
        <v>74</v>
      </c>
    </row>
    <row r="1344" spans="1:66">
      <c r="A1344">
        <v>101934</v>
      </c>
      <c r="B1344" t="s">
        <v>333</v>
      </c>
      <c r="C1344" s="1">
        <v>43300101</v>
      </c>
      <c r="D1344" t="s">
        <v>67</v>
      </c>
      <c r="H1344" t="str">
        <f t="shared" si="173"/>
        <v>06175550638</v>
      </c>
      <c r="I1344" t="str">
        <f t="shared" si="173"/>
        <v>06175550638</v>
      </c>
      <c r="K1344" t="str">
        <f>""</f>
        <v/>
      </c>
      <c r="M1344" t="s">
        <v>68</v>
      </c>
      <c r="N1344" t="str">
        <f t="shared" si="172"/>
        <v>FOR</v>
      </c>
      <c r="O1344" t="s">
        <v>69</v>
      </c>
      <c r="P1344" t="s">
        <v>75</v>
      </c>
      <c r="Q1344">
        <v>2016</v>
      </c>
      <c r="R1344" s="4">
        <v>42460</v>
      </c>
      <c r="S1344" s="2">
        <v>42474</v>
      </c>
      <c r="T1344" s="2">
        <v>42465</v>
      </c>
      <c r="U1344" s="4">
        <v>42525</v>
      </c>
      <c r="V1344" t="s">
        <v>71</v>
      </c>
      <c r="W1344" t="str">
        <f>"              230/PA"</f>
        <v xml:space="preserve">              230/PA</v>
      </c>
      <c r="X1344">
        <v>150.80000000000001</v>
      </c>
      <c r="Y1344">
        <v>0</v>
      </c>
      <c r="Z1344" s="5">
        <v>145</v>
      </c>
      <c r="AA1344" s="3">
        <v>243</v>
      </c>
      <c r="AB1344" s="5">
        <v>35235</v>
      </c>
      <c r="AC1344">
        <v>145</v>
      </c>
      <c r="AD1344">
        <v>243</v>
      </c>
      <c r="AE1344" s="1">
        <v>35235</v>
      </c>
      <c r="AF1344">
        <v>0</v>
      </c>
      <c r="AJ1344">
        <v>0</v>
      </c>
      <c r="AK1344">
        <v>0</v>
      </c>
      <c r="AL1344">
        <v>0</v>
      </c>
      <c r="AM1344">
        <v>0</v>
      </c>
      <c r="AN1344">
        <v>0</v>
      </c>
      <c r="AO1344">
        <v>0</v>
      </c>
      <c r="AP1344" s="2">
        <v>42831</v>
      </c>
      <c r="AQ1344" t="s">
        <v>72</v>
      </c>
      <c r="AR1344" t="s">
        <v>72</v>
      </c>
      <c r="AS1344">
        <v>205</v>
      </c>
      <c r="AT1344" s="4">
        <v>42768</v>
      </c>
      <c r="AU1344" t="s">
        <v>73</v>
      </c>
      <c r="AV1344">
        <v>205</v>
      </c>
      <c r="AW1344" s="4">
        <v>42768</v>
      </c>
      <c r="BD1344">
        <v>0</v>
      </c>
      <c r="BN1344" t="s">
        <v>74</v>
      </c>
    </row>
    <row r="1345" spans="1:66">
      <c r="A1345">
        <v>101934</v>
      </c>
      <c r="B1345" t="s">
        <v>333</v>
      </c>
      <c r="C1345" s="1">
        <v>43300101</v>
      </c>
      <c r="D1345" t="s">
        <v>67</v>
      </c>
      <c r="H1345" t="str">
        <f t="shared" si="173"/>
        <v>06175550638</v>
      </c>
      <c r="I1345" t="str">
        <f t="shared" si="173"/>
        <v>06175550638</v>
      </c>
      <c r="K1345" t="str">
        <f>""</f>
        <v/>
      </c>
      <c r="M1345" t="s">
        <v>68</v>
      </c>
      <c r="N1345" t="str">
        <f t="shared" si="172"/>
        <v>FOR</v>
      </c>
      <c r="O1345" t="s">
        <v>69</v>
      </c>
      <c r="P1345" t="s">
        <v>75</v>
      </c>
      <c r="Q1345">
        <v>2016</v>
      </c>
      <c r="R1345" s="4">
        <v>42460</v>
      </c>
      <c r="S1345" s="2">
        <v>42474</v>
      </c>
      <c r="T1345" s="2">
        <v>42465</v>
      </c>
      <c r="U1345" s="4">
        <v>42525</v>
      </c>
      <c r="V1345" t="s">
        <v>71</v>
      </c>
      <c r="W1345" t="str">
        <f>"              231/PA"</f>
        <v xml:space="preserve">              231/PA</v>
      </c>
      <c r="X1345">
        <v>150.80000000000001</v>
      </c>
      <c r="Y1345">
        <v>0</v>
      </c>
      <c r="Z1345" s="5">
        <v>145</v>
      </c>
      <c r="AA1345" s="3">
        <v>243</v>
      </c>
      <c r="AB1345" s="5">
        <v>35235</v>
      </c>
      <c r="AC1345">
        <v>145</v>
      </c>
      <c r="AD1345">
        <v>243</v>
      </c>
      <c r="AE1345" s="1">
        <v>35235</v>
      </c>
      <c r="AF1345">
        <v>0</v>
      </c>
      <c r="AJ1345">
        <v>0</v>
      </c>
      <c r="AK1345">
        <v>0</v>
      </c>
      <c r="AL1345">
        <v>0</v>
      </c>
      <c r="AM1345">
        <v>0</v>
      </c>
      <c r="AN1345">
        <v>0</v>
      </c>
      <c r="AO1345">
        <v>0</v>
      </c>
      <c r="AP1345" s="2">
        <v>42831</v>
      </c>
      <c r="AQ1345" t="s">
        <v>72</v>
      </c>
      <c r="AR1345" t="s">
        <v>72</v>
      </c>
      <c r="AS1345">
        <v>205</v>
      </c>
      <c r="AT1345" s="4">
        <v>42768</v>
      </c>
      <c r="AU1345" t="s">
        <v>73</v>
      </c>
      <c r="AV1345">
        <v>205</v>
      </c>
      <c r="AW1345" s="4">
        <v>42768</v>
      </c>
      <c r="BD1345">
        <v>0</v>
      </c>
      <c r="BN1345" t="s">
        <v>74</v>
      </c>
    </row>
    <row r="1346" spans="1:66">
      <c r="A1346">
        <v>101934</v>
      </c>
      <c r="B1346" t="s">
        <v>333</v>
      </c>
      <c r="C1346" s="1">
        <v>43300101</v>
      </c>
      <c r="D1346" t="s">
        <v>67</v>
      </c>
      <c r="H1346" t="str">
        <f t="shared" si="173"/>
        <v>06175550638</v>
      </c>
      <c r="I1346" t="str">
        <f t="shared" si="173"/>
        <v>06175550638</v>
      </c>
      <c r="K1346" t="str">
        <f>""</f>
        <v/>
      </c>
      <c r="M1346" t="s">
        <v>68</v>
      </c>
      <c r="N1346" t="str">
        <f t="shared" si="172"/>
        <v>FOR</v>
      </c>
      <c r="O1346" t="s">
        <v>69</v>
      </c>
      <c r="P1346" t="s">
        <v>75</v>
      </c>
      <c r="Q1346">
        <v>2016</v>
      </c>
      <c r="R1346" s="4">
        <v>42489</v>
      </c>
      <c r="S1346" s="2">
        <v>42493</v>
      </c>
      <c r="T1346" s="2">
        <v>42492</v>
      </c>
      <c r="U1346" s="4">
        <v>42552</v>
      </c>
      <c r="V1346" t="s">
        <v>71</v>
      </c>
      <c r="W1346" t="str">
        <f>"              277/PA"</f>
        <v xml:space="preserve">              277/PA</v>
      </c>
      <c r="X1346">
        <v>150.80000000000001</v>
      </c>
      <c r="Y1346">
        <v>0</v>
      </c>
      <c r="Z1346" s="5">
        <v>145</v>
      </c>
      <c r="AA1346" s="3">
        <v>229</v>
      </c>
      <c r="AB1346" s="5">
        <v>33205</v>
      </c>
      <c r="AC1346">
        <v>145</v>
      </c>
      <c r="AD1346">
        <v>229</v>
      </c>
      <c r="AE1346" s="1">
        <v>33205</v>
      </c>
      <c r="AF1346">
        <v>0</v>
      </c>
      <c r="AJ1346">
        <v>0</v>
      </c>
      <c r="AK1346">
        <v>0</v>
      </c>
      <c r="AL1346">
        <v>0</v>
      </c>
      <c r="AM1346">
        <v>0</v>
      </c>
      <c r="AN1346">
        <v>0</v>
      </c>
      <c r="AO1346">
        <v>0</v>
      </c>
      <c r="AP1346" s="2">
        <v>42831</v>
      </c>
      <c r="AQ1346" t="s">
        <v>72</v>
      </c>
      <c r="AR1346" t="s">
        <v>72</v>
      </c>
      <c r="AS1346">
        <v>447</v>
      </c>
      <c r="AT1346" s="4">
        <v>42781</v>
      </c>
      <c r="AU1346" t="s">
        <v>73</v>
      </c>
      <c r="AV1346">
        <v>447</v>
      </c>
      <c r="AW1346" s="4">
        <v>42781</v>
      </c>
      <c r="BD1346">
        <v>0</v>
      </c>
      <c r="BN1346" t="s">
        <v>74</v>
      </c>
    </row>
    <row r="1347" spans="1:66">
      <c r="A1347">
        <v>101934</v>
      </c>
      <c r="B1347" t="s">
        <v>333</v>
      </c>
      <c r="C1347" s="1">
        <v>43300101</v>
      </c>
      <c r="D1347" t="s">
        <v>67</v>
      </c>
      <c r="H1347" t="str">
        <f t="shared" si="173"/>
        <v>06175550638</v>
      </c>
      <c r="I1347" t="str">
        <f t="shared" si="173"/>
        <v>06175550638</v>
      </c>
      <c r="K1347" t="str">
        <f>""</f>
        <v/>
      </c>
      <c r="M1347" t="s">
        <v>68</v>
      </c>
      <c r="N1347" t="str">
        <f t="shared" si="172"/>
        <v>FOR</v>
      </c>
      <c r="O1347" t="s">
        <v>69</v>
      </c>
      <c r="P1347" t="s">
        <v>75</v>
      </c>
      <c r="Q1347">
        <v>2016</v>
      </c>
      <c r="R1347" s="4">
        <v>42489</v>
      </c>
      <c r="S1347" s="2">
        <v>42496</v>
      </c>
      <c r="T1347" s="2">
        <v>42494</v>
      </c>
      <c r="U1347" s="4">
        <v>42554</v>
      </c>
      <c r="V1347" t="s">
        <v>71</v>
      </c>
      <c r="W1347" t="str">
        <f>"              295/PA"</f>
        <v xml:space="preserve">              295/PA</v>
      </c>
      <c r="X1347">
        <v>150.80000000000001</v>
      </c>
      <c r="Y1347">
        <v>0</v>
      </c>
      <c r="Z1347" s="5">
        <v>145</v>
      </c>
      <c r="AA1347" s="3">
        <v>227</v>
      </c>
      <c r="AB1347" s="5">
        <v>32915</v>
      </c>
      <c r="AC1347">
        <v>145</v>
      </c>
      <c r="AD1347">
        <v>227</v>
      </c>
      <c r="AE1347" s="1">
        <v>32915</v>
      </c>
      <c r="AF1347">
        <v>0</v>
      </c>
      <c r="AJ1347">
        <v>0</v>
      </c>
      <c r="AK1347">
        <v>0</v>
      </c>
      <c r="AL1347">
        <v>0</v>
      </c>
      <c r="AM1347">
        <v>0</v>
      </c>
      <c r="AN1347">
        <v>0</v>
      </c>
      <c r="AO1347">
        <v>0</v>
      </c>
      <c r="AP1347" s="2">
        <v>42831</v>
      </c>
      <c r="AQ1347" t="s">
        <v>72</v>
      </c>
      <c r="AR1347" t="s">
        <v>72</v>
      </c>
      <c r="AS1347">
        <v>447</v>
      </c>
      <c r="AT1347" s="4">
        <v>42781</v>
      </c>
      <c r="AU1347" t="s">
        <v>73</v>
      </c>
      <c r="AV1347">
        <v>447</v>
      </c>
      <c r="AW1347" s="4">
        <v>42781</v>
      </c>
      <c r="BD1347">
        <v>0</v>
      </c>
      <c r="BN1347" t="s">
        <v>74</v>
      </c>
    </row>
    <row r="1348" spans="1:66">
      <c r="A1348">
        <v>101934</v>
      </c>
      <c r="B1348" t="s">
        <v>333</v>
      </c>
      <c r="C1348" s="1">
        <v>43300101</v>
      </c>
      <c r="D1348" t="s">
        <v>67</v>
      </c>
      <c r="H1348" t="str">
        <f t="shared" si="173"/>
        <v>06175550638</v>
      </c>
      <c r="I1348" t="str">
        <f t="shared" si="173"/>
        <v>06175550638</v>
      </c>
      <c r="K1348" t="str">
        <f>""</f>
        <v/>
      </c>
      <c r="M1348" t="s">
        <v>68</v>
      </c>
      <c r="N1348" t="str">
        <f t="shared" si="172"/>
        <v>FOR</v>
      </c>
      <c r="O1348" t="s">
        <v>69</v>
      </c>
      <c r="P1348" t="s">
        <v>75</v>
      </c>
      <c r="Q1348">
        <v>2016</v>
      </c>
      <c r="R1348" s="4">
        <v>42489</v>
      </c>
      <c r="S1348" s="2">
        <v>42496</v>
      </c>
      <c r="T1348" s="2">
        <v>42494</v>
      </c>
      <c r="U1348" s="4">
        <v>42554</v>
      </c>
      <c r="V1348" t="s">
        <v>71</v>
      </c>
      <c r="W1348" t="str">
        <f>"              296/PA"</f>
        <v xml:space="preserve">              296/PA</v>
      </c>
      <c r="X1348">
        <v>150.80000000000001</v>
      </c>
      <c r="Y1348">
        <v>0</v>
      </c>
      <c r="Z1348" s="5">
        <v>145</v>
      </c>
      <c r="AA1348" s="3">
        <v>227</v>
      </c>
      <c r="AB1348" s="5">
        <v>32915</v>
      </c>
      <c r="AC1348">
        <v>145</v>
      </c>
      <c r="AD1348">
        <v>227</v>
      </c>
      <c r="AE1348" s="1">
        <v>32915</v>
      </c>
      <c r="AF1348">
        <v>0</v>
      </c>
      <c r="AJ1348">
        <v>0</v>
      </c>
      <c r="AK1348">
        <v>0</v>
      </c>
      <c r="AL1348">
        <v>0</v>
      </c>
      <c r="AM1348">
        <v>0</v>
      </c>
      <c r="AN1348">
        <v>0</v>
      </c>
      <c r="AO1348">
        <v>0</v>
      </c>
      <c r="AP1348" s="2">
        <v>42831</v>
      </c>
      <c r="AQ1348" t="s">
        <v>72</v>
      </c>
      <c r="AR1348" t="s">
        <v>72</v>
      </c>
      <c r="AS1348">
        <v>447</v>
      </c>
      <c r="AT1348" s="4">
        <v>42781</v>
      </c>
      <c r="AU1348" t="s">
        <v>73</v>
      </c>
      <c r="AV1348">
        <v>447</v>
      </c>
      <c r="AW1348" s="4">
        <v>42781</v>
      </c>
      <c r="BD1348">
        <v>0</v>
      </c>
      <c r="BN1348" t="s">
        <v>74</v>
      </c>
    </row>
    <row r="1349" spans="1:66">
      <c r="A1349">
        <v>101934</v>
      </c>
      <c r="B1349" t="s">
        <v>333</v>
      </c>
      <c r="C1349" s="1">
        <v>43300101</v>
      </c>
      <c r="D1349" t="s">
        <v>67</v>
      </c>
      <c r="H1349" t="str">
        <f t="shared" si="173"/>
        <v>06175550638</v>
      </c>
      <c r="I1349" t="str">
        <f t="shared" si="173"/>
        <v>06175550638</v>
      </c>
      <c r="K1349" t="str">
        <f>""</f>
        <v/>
      </c>
      <c r="M1349" t="s">
        <v>68</v>
      </c>
      <c r="N1349" t="str">
        <f t="shared" si="172"/>
        <v>FOR</v>
      </c>
      <c r="O1349" t="s">
        <v>69</v>
      </c>
      <c r="P1349" t="s">
        <v>75</v>
      </c>
      <c r="Q1349">
        <v>2016</v>
      </c>
      <c r="R1349" s="4">
        <v>42489</v>
      </c>
      <c r="S1349" s="2">
        <v>42496</v>
      </c>
      <c r="T1349" s="2">
        <v>42494</v>
      </c>
      <c r="U1349" s="4">
        <v>42554</v>
      </c>
      <c r="V1349" t="s">
        <v>71</v>
      </c>
      <c r="W1349" t="str">
        <f>"              297/PA"</f>
        <v xml:space="preserve">              297/PA</v>
      </c>
      <c r="X1349">
        <v>150.80000000000001</v>
      </c>
      <c r="Y1349">
        <v>0</v>
      </c>
      <c r="Z1349" s="5">
        <v>145</v>
      </c>
      <c r="AA1349" s="3">
        <v>227</v>
      </c>
      <c r="AB1349" s="5">
        <v>32915</v>
      </c>
      <c r="AC1349">
        <v>145</v>
      </c>
      <c r="AD1349">
        <v>227</v>
      </c>
      <c r="AE1349" s="1">
        <v>32915</v>
      </c>
      <c r="AF1349">
        <v>0</v>
      </c>
      <c r="AJ1349">
        <v>0</v>
      </c>
      <c r="AK1349">
        <v>0</v>
      </c>
      <c r="AL1349">
        <v>0</v>
      </c>
      <c r="AM1349">
        <v>0</v>
      </c>
      <c r="AN1349">
        <v>0</v>
      </c>
      <c r="AO1349">
        <v>0</v>
      </c>
      <c r="AP1349" s="2">
        <v>42831</v>
      </c>
      <c r="AQ1349" t="s">
        <v>72</v>
      </c>
      <c r="AR1349" t="s">
        <v>72</v>
      </c>
      <c r="AS1349">
        <v>447</v>
      </c>
      <c r="AT1349" s="4">
        <v>42781</v>
      </c>
      <c r="AU1349" t="s">
        <v>73</v>
      </c>
      <c r="AV1349">
        <v>447</v>
      </c>
      <c r="AW1349" s="4">
        <v>42781</v>
      </c>
      <c r="BD1349">
        <v>0</v>
      </c>
      <c r="BN1349" t="s">
        <v>74</v>
      </c>
    </row>
    <row r="1350" spans="1:66">
      <c r="A1350">
        <v>101934</v>
      </c>
      <c r="B1350" t="s">
        <v>333</v>
      </c>
      <c r="C1350" s="1">
        <v>43300101</v>
      </c>
      <c r="D1350" t="s">
        <v>67</v>
      </c>
      <c r="H1350" t="str">
        <f t="shared" si="173"/>
        <v>06175550638</v>
      </c>
      <c r="I1350" t="str">
        <f t="shared" si="173"/>
        <v>06175550638</v>
      </c>
      <c r="K1350" t="str">
        <f>""</f>
        <v/>
      </c>
      <c r="M1350" t="s">
        <v>68</v>
      </c>
      <c r="N1350" t="str">
        <f t="shared" si="172"/>
        <v>FOR</v>
      </c>
      <c r="O1350" t="s">
        <v>69</v>
      </c>
      <c r="P1350" t="s">
        <v>75</v>
      </c>
      <c r="Q1350">
        <v>2016</v>
      </c>
      <c r="R1350" s="4">
        <v>42489</v>
      </c>
      <c r="S1350" s="2">
        <v>42496</v>
      </c>
      <c r="T1350" s="2">
        <v>42494</v>
      </c>
      <c r="U1350" s="4">
        <v>42554</v>
      </c>
      <c r="V1350" t="s">
        <v>71</v>
      </c>
      <c r="W1350" t="str">
        <f>"              298/PA"</f>
        <v xml:space="preserve">              298/PA</v>
      </c>
      <c r="X1350">
        <v>150.80000000000001</v>
      </c>
      <c r="Y1350">
        <v>0</v>
      </c>
      <c r="Z1350" s="5">
        <v>145</v>
      </c>
      <c r="AA1350" s="3">
        <v>227</v>
      </c>
      <c r="AB1350" s="5">
        <v>32915</v>
      </c>
      <c r="AC1350">
        <v>145</v>
      </c>
      <c r="AD1350">
        <v>227</v>
      </c>
      <c r="AE1350" s="1">
        <v>32915</v>
      </c>
      <c r="AF1350">
        <v>0</v>
      </c>
      <c r="AJ1350">
        <v>0</v>
      </c>
      <c r="AK1350">
        <v>0</v>
      </c>
      <c r="AL1350">
        <v>0</v>
      </c>
      <c r="AM1350">
        <v>0</v>
      </c>
      <c r="AN1350">
        <v>0</v>
      </c>
      <c r="AO1350">
        <v>0</v>
      </c>
      <c r="AP1350" s="2">
        <v>42831</v>
      </c>
      <c r="AQ1350" t="s">
        <v>72</v>
      </c>
      <c r="AR1350" t="s">
        <v>72</v>
      </c>
      <c r="AS1350">
        <v>447</v>
      </c>
      <c r="AT1350" s="4">
        <v>42781</v>
      </c>
      <c r="AU1350" t="s">
        <v>73</v>
      </c>
      <c r="AV1350">
        <v>447</v>
      </c>
      <c r="AW1350" s="4">
        <v>42781</v>
      </c>
      <c r="BD1350">
        <v>0</v>
      </c>
      <c r="BN1350" t="s">
        <v>74</v>
      </c>
    </row>
    <row r="1351" spans="1:66">
      <c r="A1351">
        <v>101934</v>
      </c>
      <c r="B1351" t="s">
        <v>333</v>
      </c>
      <c r="C1351" s="1">
        <v>43300101</v>
      </c>
      <c r="D1351" t="s">
        <v>67</v>
      </c>
      <c r="H1351" t="str">
        <f t="shared" si="173"/>
        <v>06175550638</v>
      </c>
      <c r="I1351" t="str">
        <f t="shared" si="173"/>
        <v>06175550638</v>
      </c>
      <c r="K1351" t="str">
        <f>""</f>
        <v/>
      </c>
      <c r="M1351" t="s">
        <v>68</v>
      </c>
      <c r="N1351" t="str">
        <f t="shared" si="172"/>
        <v>FOR</v>
      </c>
      <c r="O1351" t="s">
        <v>69</v>
      </c>
      <c r="P1351" t="s">
        <v>75</v>
      </c>
      <c r="Q1351">
        <v>2016</v>
      </c>
      <c r="R1351" s="4">
        <v>42489</v>
      </c>
      <c r="S1351" s="2">
        <v>42496</v>
      </c>
      <c r="T1351" s="2">
        <v>42494</v>
      </c>
      <c r="U1351" s="4">
        <v>42554</v>
      </c>
      <c r="V1351" t="s">
        <v>71</v>
      </c>
      <c r="W1351" t="str">
        <f>"              299/PA"</f>
        <v xml:space="preserve">              299/PA</v>
      </c>
      <c r="X1351">
        <v>150.80000000000001</v>
      </c>
      <c r="Y1351">
        <v>0</v>
      </c>
      <c r="Z1351" s="5">
        <v>145</v>
      </c>
      <c r="AA1351" s="3">
        <v>227</v>
      </c>
      <c r="AB1351" s="5">
        <v>32915</v>
      </c>
      <c r="AC1351">
        <v>145</v>
      </c>
      <c r="AD1351">
        <v>227</v>
      </c>
      <c r="AE1351" s="1">
        <v>32915</v>
      </c>
      <c r="AF1351">
        <v>0</v>
      </c>
      <c r="AJ1351">
        <v>0</v>
      </c>
      <c r="AK1351">
        <v>0</v>
      </c>
      <c r="AL1351">
        <v>0</v>
      </c>
      <c r="AM1351">
        <v>0</v>
      </c>
      <c r="AN1351">
        <v>0</v>
      </c>
      <c r="AO1351">
        <v>0</v>
      </c>
      <c r="AP1351" s="2">
        <v>42831</v>
      </c>
      <c r="AQ1351" t="s">
        <v>72</v>
      </c>
      <c r="AR1351" t="s">
        <v>72</v>
      </c>
      <c r="AS1351">
        <v>447</v>
      </c>
      <c r="AT1351" s="4">
        <v>42781</v>
      </c>
      <c r="AU1351" t="s">
        <v>73</v>
      </c>
      <c r="AV1351">
        <v>447</v>
      </c>
      <c r="AW1351" s="4">
        <v>42781</v>
      </c>
      <c r="BD1351">
        <v>0</v>
      </c>
      <c r="BN1351" t="s">
        <v>74</v>
      </c>
    </row>
    <row r="1352" spans="1:66">
      <c r="A1352">
        <v>101934</v>
      </c>
      <c r="B1352" t="s">
        <v>333</v>
      </c>
      <c r="C1352" s="1">
        <v>43300101</v>
      </c>
      <c r="D1352" t="s">
        <v>67</v>
      </c>
      <c r="H1352" t="str">
        <f t="shared" si="173"/>
        <v>06175550638</v>
      </c>
      <c r="I1352" t="str">
        <f t="shared" si="173"/>
        <v>06175550638</v>
      </c>
      <c r="K1352" t="str">
        <f>""</f>
        <v/>
      </c>
      <c r="M1352" t="s">
        <v>68</v>
      </c>
      <c r="N1352" t="str">
        <f t="shared" si="172"/>
        <v>FOR</v>
      </c>
      <c r="O1352" t="s">
        <v>69</v>
      </c>
      <c r="P1352" t="s">
        <v>75</v>
      </c>
      <c r="Q1352">
        <v>2016</v>
      </c>
      <c r="R1352" s="4">
        <v>42489</v>
      </c>
      <c r="S1352" s="2">
        <v>42496</v>
      </c>
      <c r="T1352" s="2">
        <v>42494</v>
      </c>
      <c r="U1352" s="4">
        <v>42554</v>
      </c>
      <c r="V1352" t="s">
        <v>71</v>
      </c>
      <c r="W1352" t="str">
        <f>"              300/PA"</f>
        <v xml:space="preserve">              300/PA</v>
      </c>
      <c r="X1352">
        <v>150.80000000000001</v>
      </c>
      <c r="Y1352">
        <v>0</v>
      </c>
      <c r="Z1352" s="5">
        <v>145</v>
      </c>
      <c r="AA1352" s="3">
        <v>227</v>
      </c>
      <c r="AB1352" s="5">
        <v>32915</v>
      </c>
      <c r="AC1352">
        <v>145</v>
      </c>
      <c r="AD1352">
        <v>227</v>
      </c>
      <c r="AE1352" s="1">
        <v>32915</v>
      </c>
      <c r="AF1352">
        <v>0</v>
      </c>
      <c r="AJ1352">
        <v>0</v>
      </c>
      <c r="AK1352">
        <v>0</v>
      </c>
      <c r="AL1352">
        <v>0</v>
      </c>
      <c r="AM1352">
        <v>0</v>
      </c>
      <c r="AN1352">
        <v>0</v>
      </c>
      <c r="AO1352">
        <v>0</v>
      </c>
      <c r="AP1352" s="2">
        <v>42831</v>
      </c>
      <c r="AQ1352" t="s">
        <v>72</v>
      </c>
      <c r="AR1352" t="s">
        <v>72</v>
      </c>
      <c r="AS1352">
        <v>447</v>
      </c>
      <c r="AT1352" s="4">
        <v>42781</v>
      </c>
      <c r="AU1352" t="s">
        <v>73</v>
      </c>
      <c r="AV1352">
        <v>447</v>
      </c>
      <c r="AW1352" s="4">
        <v>42781</v>
      </c>
      <c r="BD1352">
        <v>0</v>
      </c>
      <c r="BN1352" t="s">
        <v>74</v>
      </c>
    </row>
    <row r="1353" spans="1:66">
      <c r="A1353">
        <v>101934</v>
      </c>
      <c r="B1353" t="s">
        <v>333</v>
      </c>
      <c r="C1353" s="1">
        <v>43300101</v>
      </c>
      <c r="D1353" t="s">
        <v>67</v>
      </c>
      <c r="H1353" t="str">
        <f t="shared" si="173"/>
        <v>06175550638</v>
      </c>
      <c r="I1353" t="str">
        <f t="shared" si="173"/>
        <v>06175550638</v>
      </c>
      <c r="K1353" t="str">
        <f>""</f>
        <v/>
      </c>
      <c r="M1353" t="s">
        <v>68</v>
      </c>
      <c r="N1353" t="str">
        <f t="shared" si="172"/>
        <v>FOR</v>
      </c>
      <c r="O1353" t="s">
        <v>69</v>
      </c>
      <c r="P1353" t="s">
        <v>75</v>
      </c>
      <c r="Q1353">
        <v>2016</v>
      </c>
      <c r="R1353" s="4">
        <v>42489</v>
      </c>
      <c r="S1353" s="2">
        <v>42496</v>
      </c>
      <c r="T1353" s="2">
        <v>42494</v>
      </c>
      <c r="U1353" s="4">
        <v>42554</v>
      </c>
      <c r="V1353" t="s">
        <v>71</v>
      </c>
      <c r="W1353" t="str">
        <f>"              301/PA"</f>
        <v xml:space="preserve">              301/PA</v>
      </c>
      <c r="X1353">
        <v>150.80000000000001</v>
      </c>
      <c r="Y1353">
        <v>0</v>
      </c>
      <c r="Z1353" s="5">
        <v>145</v>
      </c>
      <c r="AA1353" s="3">
        <v>227</v>
      </c>
      <c r="AB1353" s="5">
        <v>32915</v>
      </c>
      <c r="AC1353">
        <v>145</v>
      </c>
      <c r="AD1353">
        <v>227</v>
      </c>
      <c r="AE1353" s="1">
        <v>32915</v>
      </c>
      <c r="AF1353">
        <v>0</v>
      </c>
      <c r="AJ1353">
        <v>0</v>
      </c>
      <c r="AK1353">
        <v>0</v>
      </c>
      <c r="AL1353">
        <v>0</v>
      </c>
      <c r="AM1353">
        <v>0</v>
      </c>
      <c r="AN1353">
        <v>0</v>
      </c>
      <c r="AO1353">
        <v>0</v>
      </c>
      <c r="AP1353" s="2">
        <v>42831</v>
      </c>
      <c r="AQ1353" t="s">
        <v>72</v>
      </c>
      <c r="AR1353" t="s">
        <v>72</v>
      </c>
      <c r="AS1353">
        <v>447</v>
      </c>
      <c r="AT1353" s="4">
        <v>42781</v>
      </c>
      <c r="AU1353" t="s">
        <v>73</v>
      </c>
      <c r="AV1353">
        <v>447</v>
      </c>
      <c r="AW1353" s="4">
        <v>42781</v>
      </c>
      <c r="BD1353">
        <v>0</v>
      </c>
      <c r="BN1353" t="s">
        <v>74</v>
      </c>
    </row>
    <row r="1354" spans="1:66">
      <c r="A1354">
        <v>101934</v>
      </c>
      <c r="B1354" t="s">
        <v>333</v>
      </c>
      <c r="C1354" s="1">
        <v>43300101</v>
      </c>
      <c r="D1354" t="s">
        <v>67</v>
      </c>
      <c r="H1354" t="str">
        <f t="shared" si="173"/>
        <v>06175550638</v>
      </c>
      <c r="I1354" t="str">
        <f t="shared" si="173"/>
        <v>06175550638</v>
      </c>
      <c r="K1354" t="str">
        <f>""</f>
        <v/>
      </c>
      <c r="M1354" t="s">
        <v>68</v>
      </c>
      <c r="N1354" t="str">
        <f t="shared" si="172"/>
        <v>FOR</v>
      </c>
      <c r="O1354" t="s">
        <v>69</v>
      </c>
      <c r="P1354" t="s">
        <v>75</v>
      </c>
      <c r="Q1354">
        <v>2016</v>
      </c>
      <c r="R1354" s="4">
        <v>42489</v>
      </c>
      <c r="S1354" s="2">
        <v>42496</v>
      </c>
      <c r="T1354" s="2">
        <v>42494</v>
      </c>
      <c r="U1354" s="4">
        <v>42554</v>
      </c>
      <c r="V1354" t="s">
        <v>71</v>
      </c>
      <c r="W1354" t="str">
        <f>"              302/PA"</f>
        <v xml:space="preserve">              302/PA</v>
      </c>
      <c r="X1354">
        <v>150.80000000000001</v>
      </c>
      <c r="Y1354">
        <v>0</v>
      </c>
      <c r="Z1354" s="5">
        <v>145</v>
      </c>
      <c r="AA1354" s="3">
        <v>227</v>
      </c>
      <c r="AB1354" s="5">
        <v>32915</v>
      </c>
      <c r="AC1354">
        <v>145</v>
      </c>
      <c r="AD1354">
        <v>227</v>
      </c>
      <c r="AE1354" s="1">
        <v>32915</v>
      </c>
      <c r="AF1354">
        <v>0</v>
      </c>
      <c r="AJ1354">
        <v>0</v>
      </c>
      <c r="AK1354">
        <v>0</v>
      </c>
      <c r="AL1354">
        <v>0</v>
      </c>
      <c r="AM1354">
        <v>0</v>
      </c>
      <c r="AN1354">
        <v>0</v>
      </c>
      <c r="AO1354">
        <v>0</v>
      </c>
      <c r="AP1354" s="2">
        <v>42831</v>
      </c>
      <c r="AQ1354" t="s">
        <v>72</v>
      </c>
      <c r="AR1354" t="s">
        <v>72</v>
      </c>
      <c r="AS1354">
        <v>447</v>
      </c>
      <c r="AT1354" s="4">
        <v>42781</v>
      </c>
      <c r="AU1354" t="s">
        <v>73</v>
      </c>
      <c r="AV1354">
        <v>447</v>
      </c>
      <c r="AW1354" s="4">
        <v>42781</v>
      </c>
      <c r="BD1354">
        <v>0</v>
      </c>
      <c r="BN1354" t="s">
        <v>74</v>
      </c>
    </row>
    <row r="1355" spans="1:66">
      <c r="A1355">
        <v>101934</v>
      </c>
      <c r="B1355" t="s">
        <v>333</v>
      </c>
      <c r="C1355" s="1">
        <v>43300101</v>
      </c>
      <c r="D1355" t="s">
        <v>67</v>
      </c>
      <c r="H1355" t="str">
        <f t="shared" ref="H1355:I1370" si="174">"06175550638"</f>
        <v>06175550638</v>
      </c>
      <c r="I1355" t="str">
        <f t="shared" si="174"/>
        <v>06175550638</v>
      </c>
      <c r="K1355" t="str">
        <f>""</f>
        <v/>
      </c>
      <c r="M1355" t="s">
        <v>68</v>
      </c>
      <c r="N1355" t="str">
        <f t="shared" ref="N1355:N1386" si="175">"FOR"</f>
        <v>FOR</v>
      </c>
      <c r="O1355" t="s">
        <v>69</v>
      </c>
      <c r="P1355" t="s">
        <v>75</v>
      </c>
      <c r="Q1355">
        <v>2016</v>
      </c>
      <c r="R1355" s="4">
        <v>42489</v>
      </c>
      <c r="S1355" s="2">
        <v>42496</v>
      </c>
      <c r="T1355" s="2">
        <v>42494</v>
      </c>
      <c r="U1355" s="4">
        <v>42554</v>
      </c>
      <c r="V1355" t="s">
        <v>71</v>
      </c>
      <c r="W1355" t="str">
        <f>"              303/PA"</f>
        <v xml:space="preserve">              303/PA</v>
      </c>
      <c r="X1355">
        <v>150.80000000000001</v>
      </c>
      <c r="Y1355">
        <v>0</v>
      </c>
      <c r="Z1355" s="5">
        <v>145</v>
      </c>
      <c r="AA1355" s="3">
        <v>227</v>
      </c>
      <c r="AB1355" s="5">
        <v>32915</v>
      </c>
      <c r="AC1355">
        <v>145</v>
      </c>
      <c r="AD1355">
        <v>227</v>
      </c>
      <c r="AE1355" s="1">
        <v>32915</v>
      </c>
      <c r="AF1355">
        <v>0</v>
      </c>
      <c r="AJ1355">
        <v>0</v>
      </c>
      <c r="AK1355">
        <v>0</v>
      </c>
      <c r="AL1355">
        <v>0</v>
      </c>
      <c r="AM1355">
        <v>0</v>
      </c>
      <c r="AN1355">
        <v>0</v>
      </c>
      <c r="AO1355">
        <v>0</v>
      </c>
      <c r="AP1355" s="2">
        <v>42831</v>
      </c>
      <c r="AQ1355" t="s">
        <v>72</v>
      </c>
      <c r="AR1355" t="s">
        <v>72</v>
      </c>
      <c r="AS1355">
        <v>447</v>
      </c>
      <c r="AT1355" s="4">
        <v>42781</v>
      </c>
      <c r="AU1355" t="s">
        <v>73</v>
      </c>
      <c r="AV1355">
        <v>447</v>
      </c>
      <c r="AW1355" s="4">
        <v>42781</v>
      </c>
      <c r="BD1355">
        <v>0</v>
      </c>
      <c r="BN1355" t="s">
        <v>74</v>
      </c>
    </row>
    <row r="1356" spans="1:66">
      <c r="A1356">
        <v>101934</v>
      </c>
      <c r="B1356" t="s">
        <v>333</v>
      </c>
      <c r="C1356" s="1">
        <v>43300101</v>
      </c>
      <c r="D1356" t="s">
        <v>67</v>
      </c>
      <c r="H1356" t="str">
        <f t="shared" si="174"/>
        <v>06175550638</v>
      </c>
      <c r="I1356" t="str">
        <f t="shared" si="174"/>
        <v>06175550638</v>
      </c>
      <c r="K1356" t="str">
        <f>""</f>
        <v/>
      </c>
      <c r="M1356" t="s">
        <v>68</v>
      </c>
      <c r="N1356" t="str">
        <f t="shared" si="175"/>
        <v>FOR</v>
      </c>
      <c r="O1356" t="s">
        <v>69</v>
      </c>
      <c r="P1356" t="s">
        <v>75</v>
      </c>
      <c r="Q1356">
        <v>2016</v>
      </c>
      <c r="R1356" s="4">
        <v>42489</v>
      </c>
      <c r="S1356" s="2">
        <v>42496</v>
      </c>
      <c r="T1356" s="2">
        <v>42494</v>
      </c>
      <c r="U1356" s="4">
        <v>42554</v>
      </c>
      <c r="V1356" t="s">
        <v>71</v>
      </c>
      <c r="W1356" t="str">
        <f>"              304/PA"</f>
        <v xml:space="preserve">              304/PA</v>
      </c>
      <c r="X1356">
        <v>150.80000000000001</v>
      </c>
      <c r="Y1356">
        <v>0</v>
      </c>
      <c r="Z1356" s="5">
        <v>145</v>
      </c>
      <c r="AA1356" s="3">
        <v>227</v>
      </c>
      <c r="AB1356" s="5">
        <v>32915</v>
      </c>
      <c r="AC1356">
        <v>145</v>
      </c>
      <c r="AD1356">
        <v>227</v>
      </c>
      <c r="AE1356" s="1">
        <v>32915</v>
      </c>
      <c r="AF1356">
        <v>0</v>
      </c>
      <c r="AJ1356">
        <v>0</v>
      </c>
      <c r="AK1356">
        <v>0</v>
      </c>
      <c r="AL1356">
        <v>0</v>
      </c>
      <c r="AM1356">
        <v>0</v>
      </c>
      <c r="AN1356">
        <v>0</v>
      </c>
      <c r="AO1356">
        <v>0</v>
      </c>
      <c r="AP1356" s="2">
        <v>42831</v>
      </c>
      <c r="AQ1356" t="s">
        <v>72</v>
      </c>
      <c r="AR1356" t="s">
        <v>72</v>
      </c>
      <c r="AS1356">
        <v>447</v>
      </c>
      <c r="AT1356" s="4">
        <v>42781</v>
      </c>
      <c r="AU1356" t="s">
        <v>73</v>
      </c>
      <c r="AV1356">
        <v>447</v>
      </c>
      <c r="AW1356" s="4">
        <v>42781</v>
      </c>
      <c r="BD1356">
        <v>0</v>
      </c>
      <c r="BN1356" t="s">
        <v>74</v>
      </c>
    </row>
    <row r="1357" spans="1:66">
      <c r="A1357">
        <v>101934</v>
      </c>
      <c r="B1357" t="s">
        <v>333</v>
      </c>
      <c r="C1357" s="1">
        <v>43300101</v>
      </c>
      <c r="D1357" t="s">
        <v>67</v>
      </c>
      <c r="H1357" t="str">
        <f t="shared" si="174"/>
        <v>06175550638</v>
      </c>
      <c r="I1357" t="str">
        <f t="shared" si="174"/>
        <v>06175550638</v>
      </c>
      <c r="K1357" t="str">
        <f>""</f>
        <v/>
      </c>
      <c r="M1357" t="s">
        <v>68</v>
      </c>
      <c r="N1357" t="str">
        <f t="shared" si="175"/>
        <v>FOR</v>
      </c>
      <c r="O1357" t="s">
        <v>69</v>
      </c>
      <c r="P1357" t="s">
        <v>75</v>
      </c>
      <c r="Q1357">
        <v>2016</v>
      </c>
      <c r="R1357" s="4">
        <v>42489</v>
      </c>
      <c r="S1357" s="2">
        <v>42496</v>
      </c>
      <c r="T1357" s="2">
        <v>42494</v>
      </c>
      <c r="U1357" s="4">
        <v>42554</v>
      </c>
      <c r="V1357" t="s">
        <v>71</v>
      </c>
      <c r="W1357" t="str">
        <f>"              305/PA"</f>
        <v xml:space="preserve">              305/PA</v>
      </c>
      <c r="X1357">
        <v>150.80000000000001</v>
      </c>
      <c r="Y1357">
        <v>0</v>
      </c>
      <c r="Z1357" s="5">
        <v>145</v>
      </c>
      <c r="AA1357" s="3">
        <v>227</v>
      </c>
      <c r="AB1357" s="5">
        <v>32915</v>
      </c>
      <c r="AC1357">
        <v>145</v>
      </c>
      <c r="AD1357">
        <v>227</v>
      </c>
      <c r="AE1357" s="1">
        <v>32915</v>
      </c>
      <c r="AF1357">
        <v>0</v>
      </c>
      <c r="AJ1357">
        <v>0</v>
      </c>
      <c r="AK1357">
        <v>0</v>
      </c>
      <c r="AL1357">
        <v>0</v>
      </c>
      <c r="AM1357">
        <v>0</v>
      </c>
      <c r="AN1357">
        <v>0</v>
      </c>
      <c r="AO1357">
        <v>0</v>
      </c>
      <c r="AP1357" s="2">
        <v>42831</v>
      </c>
      <c r="AQ1357" t="s">
        <v>72</v>
      </c>
      <c r="AR1357" t="s">
        <v>72</v>
      </c>
      <c r="AS1357">
        <v>447</v>
      </c>
      <c r="AT1357" s="4">
        <v>42781</v>
      </c>
      <c r="AU1357" t="s">
        <v>73</v>
      </c>
      <c r="AV1357">
        <v>447</v>
      </c>
      <c r="AW1357" s="4">
        <v>42781</v>
      </c>
      <c r="BD1357">
        <v>0</v>
      </c>
      <c r="BN1357" t="s">
        <v>74</v>
      </c>
    </row>
    <row r="1358" spans="1:66">
      <c r="A1358">
        <v>101934</v>
      </c>
      <c r="B1358" t="s">
        <v>333</v>
      </c>
      <c r="C1358" s="1">
        <v>43300101</v>
      </c>
      <c r="D1358" t="s">
        <v>67</v>
      </c>
      <c r="H1358" t="str">
        <f t="shared" si="174"/>
        <v>06175550638</v>
      </c>
      <c r="I1358" t="str">
        <f t="shared" si="174"/>
        <v>06175550638</v>
      </c>
      <c r="K1358" t="str">
        <f>""</f>
        <v/>
      </c>
      <c r="M1358" t="s">
        <v>68</v>
      </c>
      <c r="N1358" t="str">
        <f t="shared" si="175"/>
        <v>FOR</v>
      </c>
      <c r="O1358" t="s">
        <v>69</v>
      </c>
      <c r="P1358" t="s">
        <v>75</v>
      </c>
      <c r="Q1358">
        <v>2016</v>
      </c>
      <c r="R1358" s="4">
        <v>42489</v>
      </c>
      <c r="S1358" s="2">
        <v>42496</v>
      </c>
      <c r="T1358" s="2">
        <v>42494</v>
      </c>
      <c r="U1358" s="4">
        <v>42554</v>
      </c>
      <c r="V1358" t="s">
        <v>71</v>
      </c>
      <c r="W1358" t="str">
        <f>"              306/PA"</f>
        <v xml:space="preserve">              306/PA</v>
      </c>
      <c r="X1358">
        <v>150.80000000000001</v>
      </c>
      <c r="Y1358">
        <v>0</v>
      </c>
      <c r="Z1358" s="5">
        <v>145</v>
      </c>
      <c r="AA1358" s="3">
        <v>227</v>
      </c>
      <c r="AB1358" s="5">
        <v>32915</v>
      </c>
      <c r="AC1358">
        <v>145</v>
      </c>
      <c r="AD1358">
        <v>227</v>
      </c>
      <c r="AE1358" s="1">
        <v>32915</v>
      </c>
      <c r="AF1358">
        <v>0</v>
      </c>
      <c r="AJ1358">
        <v>0</v>
      </c>
      <c r="AK1358">
        <v>0</v>
      </c>
      <c r="AL1358">
        <v>0</v>
      </c>
      <c r="AM1358">
        <v>0</v>
      </c>
      <c r="AN1358">
        <v>0</v>
      </c>
      <c r="AO1358">
        <v>0</v>
      </c>
      <c r="AP1358" s="2">
        <v>42831</v>
      </c>
      <c r="AQ1358" t="s">
        <v>72</v>
      </c>
      <c r="AR1358" t="s">
        <v>72</v>
      </c>
      <c r="AS1358">
        <v>447</v>
      </c>
      <c r="AT1358" s="4">
        <v>42781</v>
      </c>
      <c r="AU1358" t="s">
        <v>73</v>
      </c>
      <c r="AV1358">
        <v>447</v>
      </c>
      <c r="AW1358" s="4">
        <v>42781</v>
      </c>
      <c r="BD1358">
        <v>0</v>
      </c>
      <c r="BN1358" t="s">
        <v>74</v>
      </c>
    </row>
    <row r="1359" spans="1:66">
      <c r="A1359">
        <v>101934</v>
      </c>
      <c r="B1359" t="s">
        <v>333</v>
      </c>
      <c r="C1359" s="1">
        <v>43300101</v>
      </c>
      <c r="D1359" t="s">
        <v>67</v>
      </c>
      <c r="H1359" t="str">
        <f t="shared" si="174"/>
        <v>06175550638</v>
      </c>
      <c r="I1359" t="str">
        <f t="shared" si="174"/>
        <v>06175550638</v>
      </c>
      <c r="K1359" t="str">
        <f>""</f>
        <v/>
      </c>
      <c r="M1359" t="s">
        <v>68</v>
      </c>
      <c r="N1359" t="str">
        <f t="shared" si="175"/>
        <v>FOR</v>
      </c>
      <c r="O1359" t="s">
        <v>69</v>
      </c>
      <c r="P1359" t="s">
        <v>75</v>
      </c>
      <c r="Q1359">
        <v>2016</v>
      </c>
      <c r="R1359" s="4">
        <v>42510</v>
      </c>
      <c r="S1359" s="2">
        <v>42516</v>
      </c>
      <c r="T1359" s="2">
        <v>42510</v>
      </c>
      <c r="U1359" s="4">
        <v>42570</v>
      </c>
      <c r="V1359" t="s">
        <v>71</v>
      </c>
      <c r="W1359" t="str">
        <f>"              332/PA"</f>
        <v xml:space="preserve">              332/PA</v>
      </c>
      <c r="X1359">
        <v>92.23</v>
      </c>
      <c r="Y1359">
        <v>0</v>
      </c>
      <c r="Z1359" s="5">
        <v>75.599999999999994</v>
      </c>
      <c r="AA1359" s="3">
        <v>223</v>
      </c>
      <c r="AB1359" s="5">
        <v>16858.8</v>
      </c>
      <c r="AC1359">
        <v>75.599999999999994</v>
      </c>
      <c r="AD1359">
        <v>223</v>
      </c>
      <c r="AE1359" s="1">
        <v>16858.8</v>
      </c>
      <c r="AF1359">
        <v>0</v>
      </c>
      <c r="AJ1359">
        <v>0</v>
      </c>
      <c r="AK1359">
        <v>0</v>
      </c>
      <c r="AL1359">
        <v>0</v>
      </c>
      <c r="AM1359">
        <v>0</v>
      </c>
      <c r="AN1359">
        <v>0</v>
      </c>
      <c r="AO1359">
        <v>0</v>
      </c>
      <c r="AP1359" s="2">
        <v>42831</v>
      </c>
      <c r="AQ1359" t="s">
        <v>72</v>
      </c>
      <c r="AR1359" t="s">
        <v>72</v>
      </c>
      <c r="AS1359">
        <v>597</v>
      </c>
      <c r="AT1359" s="4">
        <v>42793</v>
      </c>
      <c r="AU1359" t="s">
        <v>73</v>
      </c>
      <c r="AV1359">
        <v>597</v>
      </c>
      <c r="AW1359" s="4">
        <v>42793</v>
      </c>
      <c r="BD1359">
        <v>0</v>
      </c>
      <c r="BN1359" t="s">
        <v>74</v>
      </c>
    </row>
    <row r="1360" spans="1:66">
      <c r="A1360">
        <v>101934</v>
      </c>
      <c r="B1360" t="s">
        <v>333</v>
      </c>
      <c r="C1360" s="1">
        <v>43300101</v>
      </c>
      <c r="D1360" t="s">
        <v>67</v>
      </c>
      <c r="H1360" t="str">
        <f t="shared" si="174"/>
        <v>06175550638</v>
      </c>
      <c r="I1360" t="str">
        <f t="shared" si="174"/>
        <v>06175550638</v>
      </c>
      <c r="K1360" t="str">
        <f>""</f>
        <v/>
      </c>
      <c r="M1360" t="s">
        <v>68</v>
      </c>
      <c r="N1360" t="str">
        <f t="shared" si="175"/>
        <v>FOR</v>
      </c>
      <c r="O1360" t="s">
        <v>69</v>
      </c>
      <c r="P1360" t="s">
        <v>75</v>
      </c>
      <c r="Q1360">
        <v>2016</v>
      </c>
      <c r="R1360" s="4">
        <v>42513</v>
      </c>
      <c r="S1360" s="2">
        <v>42522</v>
      </c>
      <c r="T1360" s="2">
        <v>42515</v>
      </c>
      <c r="U1360" s="4">
        <v>42575</v>
      </c>
      <c r="V1360" t="s">
        <v>71</v>
      </c>
      <c r="W1360" t="str">
        <f>"              355/PA"</f>
        <v xml:space="preserve">              355/PA</v>
      </c>
      <c r="X1360">
        <v>150.80000000000001</v>
      </c>
      <c r="Y1360">
        <v>0</v>
      </c>
      <c r="Z1360" s="5">
        <v>145</v>
      </c>
      <c r="AA1360" s="3">
        <v>218</v>
      </c>
      <c r="AB1360" s="5">
        <v>31610</v>
      </c>
      <c r="AC1360">
        <v>145</v>
      </c>
      <c r="AD1360">
        <v>218</v>
      </c>
      <c r="AE1360" s="1">
        <v>31610</v>
      </c>
      <c r="AF1360">
        <v>0</v>
      </c>
      <c r="AJ1360">
        <v>0</v>
      </c>
      <c r="AK1360">
        <v>0</v>
      </c>
      <c r="AL1360">
        <v>0</v>
      </c>
      <c r="AM1360">
        <v>0</v>
      </c>
      <c r="AN1360">
        <v>0</v>
      </c>
      <c r="AO1360">
        <v>0</v>
      </c>
      <c r="AP1360" s="2">
        <v>42831</v>
      </c>
      <c r="AQ1360" t="s">
        <v>72</v>
      </c>
      <c r="AR1360" t="s">
        <v>72</v>
      </c>
      <c r="AS1360">
        <v>597</v>
      </c>
      <c r="AT1360" s="4">
        <v>42793</v>
      </c>
      <c r="AU1360" t="s">
        <v>73</v>
      </c>
      <c r="AV1360">
        <v>597</v>
      </c>
      <c r="AW1360" s="4">
        <v>42793</v>
      </c>
      <c r="BD1360">
        <v>0</v>
      </c>
      <c r="BN1360" t="s">
        <v>74</v>
      </c>
    </row>
    <row r="1361" spans="1:66">
      <c r="A1361">
        <v>101934</v>
      </c>
      <c r="B1361" t="s">
        <v>333</v>
      </c>
      <c r="C1361" s="1">
        <v>43300101</v>
      </c>
      <c r="D1361" t="s">
        <v>67</v>
      </c>
      <c r="H1361" t="str">
        <f t="shared" si="174"/>
        <v>06175550638</v>
      </c>
      <c r="I1361" t="str">
        <f t="shared" si="174"/>
        <v>06175550638</v>
      </c>
      <c r="K1361" t="str">
        <f>""</f>
        <v/>
      </c>
      <c r="M1361" t="s">
        <v>68</v>
      </c>
      <c r="N1361" t="str">
        <f t="shared" si="175"/>
        <v>FOR</v>
      </c>
      <c r="O1361" t="s">
        <v>69</v>
      </c>
      <c r="P1361" t="s">
        <v>75</v>
      </c>
      <c r="Q1361">
        <v>2016</v>
      </c>
      <c r="R1361" s="4">
        <v>42513</v>
      </c>
      <c r="S1361" s="2">
        <v>42522</v>
      </c>
      <c r="T1361" s="2">
        <v>42515</v>
      </c>
      <c r="U1361" s="4">
        <v>42575</v>
      </c>
      <c r="V1361" t="s">
        <v>71</v>
      </c>
      <c r="W1361" t="str">
        <f>"              357/PA"</f>
        <v xml:space="preserve">              357/PA</v>
      </c>
      <c r="X1361">
        <v>150.80000000000001</v>
      </c>
      <c r="Y1361">
        <v>0</v>
      </c>
      <c r="Z1361" s="5">
        <v>145</v>
      </c>
      <c r="AA1361" s="3">
        <v>218</v>
      </c>
      <c r="AB1361" s="5">
        <v>31610</v>
      </c>
      <c r="AC1361">
        <v>145</v>
      </c>
      <c r="AD1361">
        <v>218</v>
      </c>
      <c r="AE1361" s="1">
        <v>31610</v>
      </c>
      <c r="AF1361">
        <v>0</v>
      </c>
      <c r="AJ1361">
        <v>0</v>
      </c>
      <c r="AK1361">
        <v>0</v>
      </c>
      <c r="AL1361">
        <v>0</v>
      </c>
      <c r="AM1361">
        <v>0</v>
      </c>
      <c r="AN1361">
        <v>0</v>
      </c>
      <c r="AO1361">
        <v>0</v>
      </c>
      <c r="AP1361" s="2">
        <v>42831</v>
      </c>
      <c r="AQ1361" t="s">
        <v>72</v>
      </c>
      <c r="AR1361" t="s">
        <v>72</v>
      </c>
      <c r="AS1361">
        <v>597</v>
      </c>
      <c r="AT1361" s="4">
        <v>42793</v>
      </c>
      <c r="AU1361" t="s">
        <v>73</v>
      </c>
      <c r="AV1361">
        <v>597</v>
      </c>
      <c r="AW1361" s="4">
        <v>42793</v>
      </c>
      <c r="BD1361">
        <v>0</v>
      </c>
      <c r="BN1361" t="s">
        <v>74</v>
      </c>
    </row>
    <row r="1362" spans="1:66">
      <c r="A1362">
        <v>101934</v>
      </c>
      <c r="B1362" t="s">
        <v>333</v>
      </c>
      <c r="C1362" s="1">
        <v>43300101</v>
      </c>
      <c r="D1362" t="s">
        <v>67</v>
      </c>
      <c r="H1362" t="str">
        <f t="shared" si="174"/>
        <v>06175550638</v>
      </c>
      <c r="I1362" t="str">
        <f t="shared" si="174"/>
        <v>06175550638</v>
      </c>
      <c r="K1362" t="str">
        <f>""</f>
        <v/>
      </c>
      <c r="M1362" t="s">
        <v>68</v>
      </c>
      <c r="N1362" t="str">
        <f t="shared" si="175"/>
        <v>FOR</v>
      </c>
      <c r="O1362" t="s">
        <v>69</v>
      </c>
      <c r="P1362" t="s">
        <v>75</v>
      </c>
      <c r="Q1362">
        <v>2016</v>
      </c>
      <c r="R1362" s="4">
        <v>42513</v>
      </c>
      <c r="S1362" s="2">
        <v>42522</v>
      </c>
      <c r="T1362" s="2">
        <v>42515</v>
      </c>
      <c r="U1362" s="4">
        <v>42575</v>
      </c>
      <c r="V1362" t="s">
        <v>71</v>
      </c>
      <c r="W1362" t="str">
        <f>"              358/PA"</f>
        <v xml:space="preserve">              358/PA</v>
      </c>
      <c r="X1362">
        <v>150.80000000000001</v>
      </c>
      <c r="Y1362">
        <v>0</v>
      </c>
      <c r="Z1362" s="5">
        <v>145</v>
      </c>
      <c r="AA1362" s="3">
        <v>218</v>
      </c>
      <c r="AB1362" s="5">
        <v>31610</v>
      </c>
      <c r="AC1362">
        <v>145</v>
      </c>
      <c r="AD1362">
        <v>218</v>
      </c>
      <c r="AE1362" s="1">
        <v>31610</v>
      </c>
      <c r="AF1362">
        <v>0</v>
      </c>
      <c r="AJ1362">
        <v>0</v>
      </c>
      <c r="AK1362">
        <v>0</v>
      </c>
      <c r="AL1362">
        <v>0</v>
      </c>
      <c r="AM1362">
        <v>0</v>
      </c>
      <c r="AN1362">
        <v>0</v>
      </c>
      <c r="AO1362">
        <v>0</v>
      </c>
      <c r="AP1362" s="2">
        <v>42831</v>
      </c>
      <c r="AQ1362" t="s">
        <v>72</v>
      </c>
      <c r="AR1362" t="s">
        <v>72</v>
      </c>
      <c r="AS1362">
        <v>597</v>
      </c>
      <c r="AT1362" s="4">
        <v>42793</v>
      </c>
      <c r="AU1362" t="s">
        <v>73</v>
      </c>
      <c r="AV1362">
        <v>597</v>
      </c>
      <c r="AW1362" s="4">
        <v>42793</v>
      </c>
      <c r="BD1362">
        <v>0</v>
      </c>
      <c r="BN1362" t="s">
        <v>74</v>
      </c>
    </row>
    <row r="1363" spans="1:66">
      <c r="A1363">
        <v>101934</v>
      </c>
      <c r="B1363" t="s">
        <v>333</v>
      </c>
      <c r="C1363" s="1">
        <v>43300101</v>
      </c>
      <c r="D1363" t="s">
        <v>67</v>
      </c>
      <c r="H1363" t="str">
        <f t="shared" si="174"/>
        <v>06175550638</v>
      </c>
      <c r="I1363" t="str">
        <f t="shared" si="174"/>
        <v>06175550638</v>
      </c>
      <c r="K1363" t="str">
        <f>""</f>
        <v/>
      </c>
      <c r="M1363" t="s">
        <v>68</v>
      </c>
      <c r="N1363" t="str">
        <f t="shared" si="175"/>
        <v>FOR</v>
      </c>
      <c r="O1363" t="s">
        <v>69</v>
      </c>
      <c r="P1363" t="s">
        <v>75</v>
      </c>
      <c r="Q1363">
        <v>2016</v>
      </c>
      <c r="R1363" s="4">
        <v>42514</v>
      </c>
      <c r="S1363" s="2">
        <v>42522</v>
      </c>
      <c r="T1363" s="2">
        <v>42517</v>
      </c>
      <c r="U1363" s="4">
        <v>42577</v>
      </c>
      <c r="V1363" t="s">
        <v>71</v>
      </c>
      <c r="W1363" t="str">
        <f>"              359/PA"</f>
        <v xml:space="preserve">              359/PA</v>
      </c>
      <c r="X1363">
        <v>150.80000000000001</v>
      </c>
      <c r="Y1363">
        <v>0</v>
      </c>
      <c r="Z1363" s="5">
        <v>145</v>
      </c>
      <c r="AA1363" s="3">
        <v>216</v>
      </c>
      <c r="AB1363" s="5">
        <v>31320</v>
      </c>
      <c r="AC1363">
        <v>145</v>
      </c>
      <c r="AD1363">
        <v>216</v>
      </c>
      <c r="AE1363" s="1">
        <v>31320</v>
      </c>
      <c r="AF1363">
        <v>0</v>
      </c>
      <c r="AJ1363">
        <v>0</v>
      </c>
      <c r="AK1363">
        <v>0</v>
      </c>
      <c r="AL1363">
        <v>0</v>
      </c>
      <c r="AM1363">
        <v>0</v>
      </c>
      <c r="AN1363">
        <v>0</v>
      </c>
      <c r="AO1363">
        <v>0</v>
      </c>
      <c r="AP1363" s="2">
        <v>42831</v>
      </c>
      <c r="AQ1363" t="s">
        <v>72</v>
      </c>
      <c r="AR1363" t="s">
        <v>72</v>
      </c>
      <c r="AS1363">
        <v>597</v>
      </c>
      <c r="AT1363" s="4">
        <v>42793</v>
      </c>
      <c r="AU1363" t="s">
        <v>73</v>
      </c>
      <c r="AV1363">
        <v>597</v>
      </c>
      <c r="AW1363" s="4">
        <v>42793</v>
      </c>
      <c r="BD1363">
        <v>0</v>
      </c>
      <c r="BN1363" t="s">
        <v>74</v>
      </c>
    </row>
    <row r="1364" spans="1:66">
      <c r="A1364">
        <v>101934</v>
      </c>
      <c r="B1364" t="s">
        <v>333</v>
      </c>
      <c r="C1364" s="1">
        <v>43300101</v>
      </c>
      <c r="D1364" t="s">
        <v>67</v>
      </c>
      <c r="H1364" t="str">
        <f t="shared" si="174"/>
        <v>06175550638</v>
      </c>
      <c r="I1364" t="str">
        <f t="shared" si="174"/>
        <v>06175550638</v>
      </c>
      <c r="K1364" t="str">
        <f>""</f>
        <v/>
      </c>
      <c r="M1364" t="s">
        <v>68</v>
      </c>
      <c r="N1364" t="str">
        <f t="shared" si="175"/>
        <v>FOR</v>
      </c>
      <c r="O1364" t="s">
        <v>69</v>
      </c>
      <c r="P1364" t="s">
        <v>75</v>
      </c>
      <c r="Q1364">
        <v>2016</v>
      </c>
      <c r="R1364" s="4">
        <v>42514</v>
      </c>
      <c r="S1364" s="2">
        <v>42522</v>
      </c>
      <c r="T1364" s="2">
        <v>42517</v>
      </c>
      <c r="U1364" s="4">
        <v>42577</v>
      </c>
      <c r="V1364" t="s">
        <v>71</v>
      </c>
      <c r="W1364" t="str">
        <f>"              360/PA"</f>
        <v xml:space="preserve">              360/PA</v>
      </c>
      <c r="X1364">
        <v>150.80000000000001</v>
      </c>
      <c r="Y1364">
        <v>0</v>
      </c>
      <c r="Z1364" s="5">
        <v>145</v>
      </c>
      <c r="AA1364" s="3">
        <v>216</v>
      </c>
      <c r="AB1364" s="5">
        <v>31320</v>
      </c>
      <c r="AC1364">
        <v>145</v>
      </c>
      <c r="AD1364">
        <v>216</v>
      </c>
      <c r="AE1364" s="1">
        <v>31320</v>
      </c>
      <c r="AF1364">
        <v>0</v>
      </c>
      <c r="AJ1364">
        <v>0</v>
      </c>
      <c r="AK1364">
        <v>0</v>
      </c>
      <c r="AL1364">
        <v>0</v>
      </c>
      <c r="AM1364">
        <v>0</v>
      </c>
      <c r="AN1364">
        <v>0</v>
      </c>
      <c r="AO1364">
        <v>0</v>
      </c>
      <c r="AP1364" s="2">
        <v>42831</v>
      </c>
      <c r="AQ1364" t="s">
        <v>72</v>
      </c>
      <c r="AR1364" t="s">
        <v>72</v>
      </c>
      <c r="AS1364">
        <v>597</v>
      </c>
      <c r="AT1364" s="4">
        <v>42793</v>
      </c>
      <c r="AU1364" t="s">
        <v>73</v>
      </c>
      <c r="AV1364">
        <v>597</v>
      </c>
      <c r="AW1364" s="4">
        <v>42793</v>
      </c>
      <c r="BD1364">
        <v>0</v>
      </c>
      <c r="BN1364" t="s">
        <v>74</v>
      </c>
    </row>
    <row r="1365" spans="1:66">
      <c r="A1365">
        <v>101934</v>
      </c>
      <c r="B1365" t="s">
        <v>333</v>
      </c>
      <c r="C1365" s="1">
        <v>43300101</v>
      </c>
      <c r="D1365" t="s">
        <v>67</v>
      </c>
      <c r="H1365" t="str">
        <f t="shared" si="174"/>
        <v>06175550638</v>
      </c>
      <c r="I1365" t="str">
        <f t="shared" si="174"/>
        <v>06175550638</v>
      </c>
      <c r="K1365" t="str">
        <f>""</f>
        <v/>
      </c>
      <c r="M1365" t="s">
        <v>68</v>
      </c>
      <c r="N1365" t="str">
        <f t="shared" si="175"/>
        <v>FOR</v>
      </c>
      <c r="O1365" t="s">
        <v>69</v>
      </c>
      <c r="P1365" t="s">
        <v>75</v>
      </c>
      <c r="Q1365">
        <v>2016</v>
      </c>
      <c r="R1365" s="4">
        <v>42514</v>
      </c>
      <c r="S1365" s="2">
        <v>42522</v>
      </c>
      <c r="T1365" s="2">
        <v>42517</v>
      </c>
      <c r="U1365" s="4">
        <v>42577</v>
      </c>
      <c r="V1365" t="s">
        <v>71</v>
      </c>
      <c r="W1365" t="str">
        <f>"              361/PA"</f>
        <v xml:space="preserve">              361/PA</v>
      </c>
      <c r="X1365">
        <v>150.80000000000001</v>
      </c>
      <c r="Y1365">
        <v>0</v>
      </c>
      <c r="Z1365" s="5">
        <v>145</v>
      </c>
      <c r="AA1365" s="3">
        <v>216</v>
      </c>
      <c r="AB1365" s="5">
        <v>31320</v>
      </c>
      <c r="AC1365">
        <v>145</v>
      </c>
      <c r="AD1365">
        <v>216</v>
      </c>
      <c r="AE1365" s="1">
        <v>31320</v>
      </c>
      <c r="AF1365">
        <v>0</v>
      </c>
      <c r="AJ1365">
        <v>0</v>
      </c>
      <c r="AK1365">
        <v>0</v>
      </c>
      <c r="AL1365">
        <v>0</v>
      </c>
      <c r="AM1365">
        <v>0</v>
      </c>
      <c r="AN1365">
        <v>0</v>
      </c>
      <c r="AO1365">
        <v>0</v>
      </c>
      <c r="AP1365" s="2">
        <v>42831</v>
      </c>
      <c r="AQ1365" t="s">
        <v>72</v>
      </c>
      <c r="AR1365" t="s">
        <v>72</v>
      </c>
      <c r="AS1365">
        <v>597</v>
      </c>
      <c r="AT1365" s="4">
        <v>42793</v>
      </c>
      <c r="AU1365" t="s">
        <v>73</v>
      </c>
      <c r="AV1365">
        <v>597</v>
      </c>
      <c r="AW1365" s="4">
        <v>42793</v>
      </c>
      <c r="BD1365">
        <v>0</v>
      </c>
      <c r="BN1365" t="s">
        <v>74</v>
      </c>
    </row>
    <row r="1366" spans="1:66">
      <c r="A1366">
        <v>101934</v>
      </c>
      <c r="B1366" t="s">
        <v>333</v>
      </c>
      <c r="C1366" s="1">
        <v>43300101</v>
      </c>
      <c r="D1366" t="s">
        <v>67</v>
      </c>
      <c r="H1366" t="str">
        <f t="shared" si="174"/>
        <v>06175550638</v>
      </c>
      <c r="I1366" t="str">
        <f t="shared" si="174"/>
        <v>06175550638</v>
      </c>
      <c r="K1366" t="str">
        <f>""</f>
        <v/>
      </c>
      <c r="M1366" t="s">
        <v>68</v>
      </c>
      <c r="N1366" t="str">
        <f t="shared" si="175"/>
        <v>FOR</v>
      </c>
      <c r="O1366" t="s">
        <v>69</v>
      </c>
      <c r="P1366" t="s">
        <v>75</v>
      </c>
      <c r="Q1366">
        <v>2016</v>
      </c>
      <c r="R1366" s="4">
        <v>42514</v>
      </c>
      <c r="S1366" s="2">
        <v>42522</v>
      </c>
      <c r="T1366" s="2">
        <v>42517</v>
      </c>
      <c r="U1366" s="4">
        <v>42577</v>
      </c>
      <c r="V1366" t="s">
        <v>71</v>
      </c>
      <c r="W1366" t="str">
        <f>"              362/PA"</f>
        <v xml:space="preserve">              362/PA</v>
      </c>
      <c r="X1366">
        <v>150.80000000000001</v>
      </c>
      <c r="Y1366">
        <v>0</v>
      </c>
      <c r="Z1366" s="5">
        <v>145</v>
      </c>
      <c r="AA1366" s="3">
        <v>216</v>
      </c>
      <c r="AB1366" s="5">
        <v>31320</v>
      </c>
      <c r="AC1366">
        <v>145</v>
      </c>
      <c r="AD1366">
        <v>216</v>
      </c>
      <c r="AE1366" s="1">
        <v>31320</v>
      </c>
      <c r="AF1366">
        <v>0</v>
      </c>
      <c r="AJ1366">
        <v>0</v>
      </c>
      <c r="AK1366">
        <v>0</v>
      </c>
      <c r="AL1366">
        <v>0</v>
      </c>
      <c r="AM1366">
        <v>0</v>
      </c>
      <c r="AN1366">
        <v>0</v>
      </c>
      <c r="AO1366">
        <v>0</v>
      </c>
      <c r="AP1366" s="2">
        <v>42831</v>
      </c>
      <c r="AQ1366" t="s">
        <v>72</v>
      </c>
      <c r="AR1366" t="s">
        <v>72</v>
      </c>
      <c r="AS1366">
        <v>597</v>
      </c>
      <c r="AT1366" s="4">
        <v>42793</v>
      </c>
      <c r="AU1366" t="s">
        <v>73</v>
      </c>
      <c r="AV1366">
        <v>597</v>
      </c>
      <c r="AW1366" s="4">
        <v>42793</v>
      </c>
      <c r="BD1366">
        <v>0</v>
      </c>
      <c r="BN1366" t="s">
        <v>74</v>
      </c>
    </row>
    <row r="1367" spans="1:66">
      <c r="A1367">
        <v>101934</v>
      </c>
      <c r="B1367" t="s">
        <v>333</v>
      </c>
      <c r="C1367" s="1">
        <v>43300101</v>
      </c>
      <c r="D1367" t="s">
        <v>67</v>
      </c>
      <c r="H1367" t="str">
        <f t="shared" si="174"/>
        <v>06175550638</v>
      </c>
      <c r="I1367" t="str">
        <f t="shared" si="174"/>
        <v>06175550638</v>
      </c>
      <c r="K1367" t="str">
        <f>""</f>
        <v/>
      </c>
      <c r="M1367" t="s">
        <v>68</v>
      </c>
      <c r="N1367" t="str">
        <f t="shared" si="175"/>
        <v>FOR</v>
      </c>
      <c r="O1367" t="s">
        <v>69</v>
      </c>
      <c r="P1367" t="s">
        <v>75</v>
      </c>
      <c r="Q1367">
        <v>2016</v>
      </c>
      <c r="R1367" s="4">
        <v>42520</v>
      </c>
      <c r="S1367" s="2">
        <v>42522</v>
      </c>
      <c r="T1367" s="2">
        <v>42521</v>
      </c>
      <c r="U1367" s="4">
        <v>42581</v>
      </c>
      <c r="V1367" t="s">
        <v>71</v>
      </c>
      <c r="W1367" t="str">
        <f>"              385/PA"</f>
        <v xml:space="preserve">              385/PA</v>
      </c>
      <c r="X1367">
        <v>150.80000000000001</v>
      </c>
      <c r="Y1367">
        <v>0</v>
      </c>
      <c r="Z1367" s="5">
        <v>145</v>
      </c>
      <c r="AA1367" s="3">
        <v>212</v>
      </c>
      <c r="AB1367" s="5">
        <v>30740</v>
      </c>
      <c r="AC1367">
        <v>145</v>
      </c>
      <c r="AD1367">
        <v>212</v>
      </c>
      <c r="AE1367" s="1">
        <v>30740</v>
      </c>
      <c r="AF1367">
        <v>0</v>
      </c>
      <c r="AJ1367">
        <v>0</v>
      </c>
      <c r="AK1367">
        <v>0</v>
      </c>
      <c r="AL1367">
        <v>0</v>
      </c>
      <c r="AM1367">
        <v>0</v>
      </c>
      <c r="AN1367">
        <v>0</v>
      </c>
      <c r="AO1367">
        <v>0</v>
      </c>
      <c r="AP1367" s="2">
        <v>42831</v>
      </c>
      <c r="AQ1367" t="s">
        <v>72</v>
      </c>
      <c r="AR1367" t="s">
        <v>72</v>
      </c>
      <c r="AS1367">
        <v>597</v>
      </c>
      <c r="AT1367" s="4">
        <v>42793</v>
      </c>
      <c r="AU1367" t="s">
        <v>73</v>
      </c>
      <c r="AV1367">
        <v>597</v>
      </c>
      <c r="AW1367" s="4">
        <v>42793</v>
      </c>
      <c r="BD1367">
        <v>0</v>
      </c>
      <c r="BN1367" t="s">
        <v>74</v>
      </c>
    </row>
    <row r="1368" spans="1:66">
      <c r="A1368">
        <v>101934</v>
      </c>
      <c r="B1368" t="s">
        <v>333</v>
      </c>
      <c r="C1368" s="1">
        <v>43300101</v>
      </c>
      <c r="D1368" t="s">
        <v>67</v>
      </c>
      <c r="H1368" t="str">
        <f t="shared" si="174"/>
        <v>06175550638</v>
      </c>
      <c r="I1368" t="str">
        <f t="shared" si="174"/>
        <v>06175550638</v>
      </c>
      <c r="K1368" t="str">
        <f>""</f>
        <v/>
      </c>
      <c r="M1368" t="s">
        <v>68</v>
      </c>
      <c r="N1368" t="str">
        <f t="shared" si="175"/>
        <v>FOR</v>
      </c>
      <c r="O1368" t="s">
        <v>69</v>
      </c>
      <c r="P1368" t="s">
        <v>75</v>
      </c>
      <c r="Q1368">
        <v>2016</v>
      </c>
      <c r="R1368" s="4">
        <v>42520</v>
      </c>
      <c r="S1368" s="2">
        <v>42522</v>
      </c>
      <c r="T1368" s="2">
        <v>42521</v>
      </c>
      <c r="U1368" s="4">
        <v>42581</v>
      </c>
      <c r="V1368" t="s">
        <v>71</v>
      </c>
      <c r="W1368" t="str">
        <f>"              386/PA"</f>
        <v xml:space="preserve">              386/PA</v>
      </c>
      <c r="X1368">
        <v>150.80000000000001</v>
      </c>
      <c r="Y1368">
        <v>0</v>
      </c>
      <c r="Z1368" s="5">
        <v>145</v>
      </c>
      <c r="AA1368" s="3">
        <v>212</v>
      </c>
      <c r="AB1368" s="5">
        <v>30740</v>
      </c>
      <c r="AC1368">
        <v>145</v>
      </c>
      <c r="AD1368">
        <v>212</v>
      </c>
      <c r="AE1368" s="1">
        <v>30740</v>
      </c>
      <c r="AF1368">
        <v>0</v>
      </c>
      <c r="AJ1368">
        <v>0</v>
      </c>
      <c r="AK1368">
        <v>0</v>
      </c>
      <c r="AL1368">
        <v>0</v>
      </c>
      <c r="AM1368">
        <v>0</v>
      </c>
      <c r="AN1368">
        <v>0</v>
      </c>
      <c r="AO1368">
        <v>0</v>
      </c>
      <c r="AP1368" s="2">
        <v>42831</v>
      </c>
      <c r="AQ1368" t="s">
        <v>72</v>
      </c>
      <c r="AR1368" t="s">
        <v>72</v>
      </c>
      <c r="AS1368">
        <v>597</v>
      </c>
      <c r="AT1368" s="4">
        <v>42793</v>
      </c>
      <c r="AU1368" t="s">
        <v>73</v>
      </c>
      <c r="AV1368">
        <v>597</v>
      </c>
      <c r="AW1368" s="4">
        <v>42793</v>
      </c>
      <c r="BD1368">
        <v>0</v>
      </c>
      <c r="BN1368" t="s">
        <v>74</v>
      </c>
    </row>
    <row r="1369" spans="1:66">
      <c r="A1369">
        <v>101934</v>
      </c>
      <c r="B1369" t="s">
        <v>333</v>
      </c>
      <c r="C1369" s="1">
        <v>43300101</v>
      </c>
      <c r="D1369" t="s">
        <v>67</v>
      </c>
      <c r="H1369" t="str">
        <f t="shared" si="174"/>
        <v>06175550638</v>
      </c>
      <c r="I1369" t="str">
        <f t="shared" si="174"/>
        <v>06175550638</v>
      </c>
      <c r="K1369" t="str">
        <f>""</f>
        <v/>
      </c>
      <c r="M1369" t="s">
        <v>68</v>
      </c>
      <c r="N1369" t="str">
        <f t="shared" si="175"/>
        <v>FOR</v>
      </c>
      <c r="O1369" t="s">
        <v>69</v>
      </c>
      <c r="P1369" t="s">
        <v>75</v>
      </c>
      <c r="Q1369">
        <v>2016</v>
      </c>
      <c r="R1369" s="4">
        <v>42521</v>
      </c>
      <c r="S1369" s="2">
        <v>42530</v>
      </c>
      <c r="T1369" s="2">
        <v>42528</v>
      </c>
      <c r="U1369" s="4">
        <v>42588</v>
      </c>
      <c r="V1369" t="s">
        <v>71</v>
      </c>
      <c r="W1369" t="str">
        <f>"              402/PA"</f>
        <v xml:space="preserve">              402/PA</v>
      </c>
      <c r="X1369">
        <v>150.80000000000001</v>
      </c>
      <c r="Y1369">
        <v>0</v>
      </c>
      <c r="Z1369" s="5">
        <v>145</v>
      </c>
      <c r="AA1369" s="3">
        <v>205</v>
      </c>
      <c r="AB1369" s="5">
        <v>29725</v>
      </c>
      <c r="AC1369">
        <v>145</v>
      </c>
      <c r="AD1369">
        <v>205</v>
      </c>
      <c r="AE1369" s="1">
        <v>29725</v>
      </c>
      <c r="AF1369">
        <v>0</v>
      </c>
      <c r="AJ1369">
        <v>0</v>
      </c>
      <c r="AK1369">
        <v>0</v>
      </c>
      <c r="AL1369">
        <v>0</v>
      </c>
      <c r="AM1369">
        <v>0</v>
      </c>
      <c r="AN1369">
        <v>0</v>
      </c>
      <c r="AO1369">
        <v>0</v>
      </c>
      <c r="AP1369" s="2">
        <v>42831</v>
      </c>
      <c r="AQ1369" t="s">
        <v>72</v>
      </c>
      <c r="AR1369" t="s">
        <v>72</v>
      </c>
      <c r="AS1369">
        <v>597</v>
      </c>
      <c r="AT1369" s="4">
        <v>42793</v>
      </c>
      <c r="AU1369" t="s">
        <v>73</v>
      </c>
      <c r="AV1369">
        <v>597</v>
      </c>
      <c r="AW1369" s="4">
        <v>42793</v>
      </c>
      <c r="BD1369">
        <v>0</v>
      </c>
      <c r="BN1369" t="s">
        <v>74</v>
      </c>
    </row>
    <row r="1370" spans="1:66">
      <c r="A1370">
        <v>101934</v>
      </c>
      <c r="B1370" t="s">
        <v>333</v>
      </c>
      <c r="C1370" s="1">
        <v>43300101</v>
      </c>
      <c r="D1370" t="s">
        <v>67</v>
      </c>
      <c r="H1370" t="str">
        <f t="shared" si="174"/>
        <v>06175550638</v>
      </c>
      <c r="I1370" t="str">
        <f t="shared" si="174"/>
        <v>06175550638</v>
      </c>
      <c r="K1370" t="str">
        <f>""</f>
        <v/>
      </c>
      <c r="M1370" t="s">
        <v>68</v>
      </c>
      <c r="N1370" t="str">
        <f t="shared" si="175"/>
        <v>FOR</v>
      </c>
      <c r="O1370" t="s">
        <v>69</v>
      </c>
      <c r="P1370" t="s">
        <v>75</v>
      </c>
      <c r="Q1370">
        <v>2016</v>
      </c>
      <c r="R1370" s="4">
        <v>42521</v>
      </c>
      <c r="S1370" s="2">
        <v>42530</v>
      </c>
      <c r="T1370" s="2">
        <v>42528</v>
      </c>
      <c r="U1370" s="4">
        <v>42588</v>
      </c>
      <c r="V1370" t="s">
        <v>71</v>
      </c>
      <c r="W1370" t="str">
        <f>"              403/PA"</f>
        <v xml:space="preserve">              403/PA</v>
      </c>
      <c r="X1370">
        <v>150.80000000000001</v>
      </c>
      <c r="Y1370">
        <v>0</v>
      </c>
      <c r="Z1370" s="5">
        <v>145</v>
      </c>
      <c r="AA1370" s="3">
        <v>205</v>
      </c>
      <c r="AB1370" s="5">
        <v>29725</v>
      </c>
      <c r="AC1370">
        <v>145</v>
      </c>
      <c r="AD1370">
        <v>205</v>
      </c>
      <c r="AE1370" s="1">
        <v>29725</v>
      </c>
      <c r="AF1370">
        <v>0</v>
      </c>
      <c r="AJ1370">
        <v>0</v>
      </c>
      <c r="AK1370">
        <v>0</v>
      </c>
      <c r="AL1370">
        <v>0</v>
      </c>
      <c r="AM1370">
        <v>0</v>
      </c>
      <c r="AN1370">
        <v>0</v>
      </c>
      <c r="AO1370">
        <v>0</v>
      </c>
      <c r="AP1370" s="2">
        <v>42831</v>
      </c>
      <c r="AQ1370" t="s">
        <v>72</v>
      </c>
      <c r="AR1370" t="s">
        <v>72</v>
      </c>
      <c r="AS1370">
        <v>597</v>
      </c>
      <c r="AT1370" s="4">
        <v>42793</v>
      </c>
      <c r="AU1370" t="s">
        <v>73</v>
      </c>
      <c r="AV1370">
        <v>597</v>
      </c>
      <c r="AW1370" s="4">
        <v>42793</v>
      </c>
      <c r="BD1370">
        <v>0</v>
      </c>
      <c r="BN1370" t="s">
        <v>74</v>
      </c>
    </row>
    <row r="1371" spans="1:66">
      <c r="A1371">
        <v>101935</v>
      </c>
      <c r="B1371" t="s">
        <v>334</v>
      </c>
      <c r="C1371" s="1">
        <v>43300101</v>
      </c>
      <c r="D1371" t="s">
        <v>67</v>
      </c>
      <c r="H1371" t="str">
        <f t="shared" ref="H1371:I1373" si="176">"07516911000"</f>
        <v>07516911000</v>
      </c>
      <c r="I1371" t="str">
        <f t="shared" si="176"/>
        <v>07516911000</v>
      </c>
      <c r="K1371" t="str">
        <f>""</f>
        <v/>
      </c>
      <c r="M1371" t="s">
        <v>68</v>
      </c>
      <c r="N1371" t="str">
        <f t="shared" si="175"/>
        <v>FOR</v>
      </c>
      <c r="O1371" t="s">
        <v>69</v>
      </c>
      <c r="P1371" t="s">
        <v>75</v>
      </c>
      <c r="Q1371">
        <v>2016</v>
      </c>
      <c r="R1371" s="4">
        <v>42727</v>
      </c>
      <c r="S1371" s="2">
        <v>42733</v>
      </c>
      <c r="T1371" s="2">
        <v>42727</v>
      </c>
      <c r="U1371" s="4">
        <v>42787</v>
      </c>
      <c r="V1371" t="s">
        <v>71</v>
      </c>
      <c r="W1371" t="str">
        <f>"          900027099D"</f>
        <v xml:space="preserve">          900027099D</v>
      </c>
      <c r="X1371">
        <v>27.8</v>
      </c>
      <c r="Y1371">
        <v>0</v>
      </c>
      <c r="Z1371" s="5">
        <v>22.79</v>
      </c>
      <c r="AA1371" s="3">
        <v>-21</v>
      </c>
      <c r="AB1371" s="3">
        <v>-478.59</v>
      </c>
      <c r="AC1371">
        <v>22.79</v>
      </c>
      <c r="AD1371">
        <v>-21</v>
      </c>
      <c r="AE1371">
        <v>-478.59</v>
      </c>
      <c r="AF1371">
        <v>0</v>
      </c>
      <c r="AJ1371">
        <v>0</v>
      </c>
      <c r="AK1371">
        <v>0</v>
      </c>
      <c r="AL1371">
        <v>0</v>
      </c>
      <c r="AM1371">
        <v>0</v>
      </c>
      <c r="AN1371">
        <v>0</v>
      </c>
      <c r="AO1371">
        <v>0</v>
      </c>
      <c r="AP1371" s="2">
        <v>42831</v>
      </c>
      <c r="AQ1371" t="s">
        <v>72</v>
      </c>
      <c r="AR1371" t="s">
        <v>72</v>
      </c>
      <c r="AS1371">
        <v>158</v>
      </c>
      <c r="AT1371" s="4">
        <v>42766</v>
      </c>
      <c r="AV1371">
        <v>158</v>
      </c>
      <c r="AW1371" s="4">
        <v>42766</v>
      </c>
      <c r="BD1371">
        <v>0</v>
      </c>
      <c r="BN1371" t="s">
        <v>74</v>
      </c>
    </row>
    <row r="1372" spans="1:66">
      <c r="A1372">
        <v>101935</v>
      </c>
      <c r="B1372" t="s">
        <v>334</v>
      </c>
      <c r="C1372" s="1">
        <v>43300101</v>
      </c>
      <c r="D1372" t="s">
        <v>67</v>
      </c>
      <c r="H1372" t="str">
        <f t="shared" si="176"/>
        <v>07516911000</v>
      </c>
      <c r="I1372" t="str">
        <f t="shared" si="176"/>
        <v>07516911000</v>
      </c>
      <c r="K1372" t="str">
        <f>""</f>
        <v/>
      </c>
      <c r="M1372" t="s">
        <v>68</v>
      </c>
      <c r="N1372" t="str">
        <f t="shared" si="175"/>
        <v>FOR</v>
      </c>
      <c r="O1372" t="s">
        <v>69</v>
      </c>
      <c r="P1372" t="s">
        <v>75</v>
      </c>
      <c r="Q1372">
        <v>2017</v>
      </c>
      <c r="R1372" s="4">
        <v>42758</v>
      </c>
      <c r="S1372" s="2">
        <v>42760</v>
      </c>
      <c r="T1372" s="2">
        <v>42758</v>
      </c>
      <c r="U1372" s="4">
        <v>42818</v>
      </c>
      <c r="V1372" t="s">
        <v>71</v>
      </c>
      <c r="W1372" t="str">
        <f>"          900000533D"</f>
        <v xml:space="preserve">          900000533D</v>
      </c>
      <c r="X1372">
        <v>69.7</v>
      </c>
      <c r="Y1372">
        <v>0</v>
      </c>
      <c r="Z1372" s="5">
        <v>57.13</v>
      </c>
      <c r="AA1372" s="3">
        <v>-52</v>
      </c>
      <c r="AB1372" s="5">
        <v>-2970.76</v>
      </c>
      <c r="AC1372">
        <v>57.13</v>
      </c>
      <c r="AD1372">
        <v>-52</v>
      </c>
      <c r="AE1372" s="1">
        <v>-2970.76</v>
      </c>
      <c r="AF1372">
        <v>0</v>
      </c>
      <c r="AJ1372">
        <v>0</v>
      </c>
      <c r="AK1372">
        <v>69.7</v>
      </c>
      <c r="AL1372">
        <v>69.7</v>
      </c>
      <c r="AM1372">
        <v>0</v>
      </c>
      <c r="AN1372">
        <v>69.7</v>
      </c>
      <c r="AO1372">
        <v>69.7</v>
      </c>
      <c r="AP1372" s="2">
        <v>42831</v>
      </c>
      <c r="AQ1372" t="s">
        <v>72</v>
      </c>
      <c r="AR1372" t="s">
        <v>72</v>
      </c>
      <c r="AS1372">
        <v>158</v>
      </c>
      <c r="AT1372" s="4">
        <v>42766</v>
      </c>
      <c r="AV1372">
        <v>158</v>
      </c>
      <c r="AW1372" s="4">
        <v>42766</v>
      </c>
      <c r="BD1372">
        <v>0</v>
      </c>
      <c r="BN1372" t="s">
        <v>74</v>
      </c>
    </row>
    <row r="1373" spans="1:66">
      <c r="A1373">
        <v>101935</v>
      </c>
      <c r="B1373" t="s">
        <v>334</v>
      </c>
      <c r="C1373" s="1">
        <v>43300101</v>
      </c>
      <c r="D1373" t="s">
        <v>67</v>
      </c>
      <c r="H1373" t="str">
        <f t="shared" si="176"/>
        <v>07516911000</v>
      </c>
      <c r="I1373" t="str">
        <f t="shared" si="176"/>
        <v>07516911000</v>
      </c>
      <c r="K1373" t="str">
        <f>""</f>
        <v/>
      </c>
      <c r="M1373" t="s">
        <v>68</v>
      </c>
      <c r="N1373" t="str">
        <f t="shared" si="175"/>
        <v>FOR</v>
      </c>
      <c r="O1373" t="s">
        <v>69</v>
      </c>
      <c r="P1373" t="s">
        <v>75</v>
      </c>
      <c r="Q1373">
        <v>2017</v>
      </c>
      <c r="R1373" s="4">
        <v>42789</v>
      </c>
      <c r="S1373" s="2">
        <v>42794</v>
      </c>
      <c r="T1373" s="2">
        <v>42789</v>
      </c>
      <c r="U1373" s="4">
        <v>42849</v>
      </c>
      <c r="V1373" t="s">
        <v>71</v>
      </c>
      <c r="W1373" t="str">
        <f>"          900002726D"</f>
        <v xml:space="preserve">          900002726D</v>
      </c>
      <c r="X1373">
        <v>82.7</v>
      </c>
      <c r="Y1373">
        <v>0</v>
      </c>
      <c r="Z1373" s="5">
        <v>67.790000000000006</v>
      </c>
      <c r="AA1373" s="3">
        <v>-54</v>
      </c>
      <c r="AB1373" s="5">
        <v>-3660.66</v>
      </c>
      <c r="AC1373">
        <v>67.790000000000006</v>
      </c>
      <c r="AD1373">
        <v>-54</v>
      </c>
      <c r="AE1373" s="1">
        <v>-3660.66</v>
      </c>
      <c r="AF1373">
        <v>14.91</v>
      </c>
      <c r="AJ1373">
        <v>82.7</v>
      </c>
      <c r="AK1373">
        <v>82.7</v>
      </c>
      <c r="AL1373">
        <v>82.7</v>
      </c>
      <c r="AM1373">
        <v>82.7</v>
      </c>
      <c r="AN1373">
        <v>82.7</v>
      </c>
      <c r="AO1373">
        <v>82.7</v>
      </c>
      <c r="AP1373" s="2">
        <v>42831</v>
      </c>
      <c r="AQ1373" t="s">
        <v>72</v>
      </c>
      <c r="AR1373" t="s">
        <v>72</v>
      </c>
      <c r="AS1373">
        <v>643</v>
      </c>
      <c r="AT1373" s="4">
        <v>42795</v>
      </c>
      <c r="AV1373">
        <v>643</v>
      </c>
      <c r="AW1373" s="4">
        <v>42795</v>
      </c>
      <c r="BD1373">
        <v>0</v>
      </c>
      <c r="BF1373">
        <v>14.91</v>
      </c>
      <c r="BN1373" t="s">
        <v>74</v>
      </c>
    </row>
    <row r="1374" spans="1:66">
      <c r="A1374">
        <v>102094</v>
      </c>
      <c r="B1374" t="s">
        <v>335</v>
      </c>
      <c r="C1374" s="1">
        <v>43300101</v>
      </c>
      <c r="D1374" t="s">
        <v>67</v>
      </c>
      <c r="H1374" t="str">
        <f t="shared" ref="H1374:I1383" si="177">"00784230872"</f>
        <v>00784230872</v>
      </c>
      <c r="I1374" t="str">
        <f t="shared" si="177"/>
        <v>00784230872</v>
      </c>
      <c r="K1374" t="str">
        <f>""</f>
        <v/>
      </c>
      <c r="M1374" t="s">
        <v>68</v>
      </c>
      <c r="N1374" t="str">
        <f t="shared" si="175"/>
        <v>FOR</v>
      </c>
      <c r="O1374" t="s">
        <v>69</v>
      </c>
      <c r="P1374" t="s">
        <v>75</v>
      </c>
      <c r="Q1374">
        <v>2016</v>
      </c>
      <c r="R1374" s="4">
        <v>42613</v>
      </c>
      <c r="S1374" s="2">
        <v>42628</v>
      </c>
      <c r="T1374" s="2">
        <v>42625</v>
      </c>
      <c r="U1374" s="4">
        <v>42685</v>
      </c>
      <c r="V1374" t="s">
        <v>71</v>
      </c>
      <c r="W1374" t="str">
        <f>"              5437 E"</f>
        <v xml:space="preserve">              5437 E</v>
      </c>
      <c r="X1374">
        <v>793</v>
      </c>
      <c r="Y1374">
        <v>0</v>
      </c>
      <c r="Z1374" s="5">
        <v>650</v>
      </c>
      <c r="AA1374" s="3">
        <v>112</v>
      </c>
      <c r="AB1374" s="5">
        <v>72800</v>
      </c>
      <c r="AC1374">
        <v>650</v>
      </c>
      <c r="AD1374">
        <v>112</v>
      </c>
      <c r="AE1374" s="1">
        <v>72800</v>
      </c>
      <c r="AF1374">
        <v>143</v>
      </c>
      <c r="AJ1374">
        <v>0</v>
      </c>
      <c r="AK1374">
        <v>0</v>
      </c>
      <c r="AL1374">
        <v>0</v>
      </c>
      <c r="AM1374">
        <v>0</v>
      </c>
      <c r="AN1374">
        <v>0</v>
      </c>
      <c r="AO1374">
        <v>0</v>
      </c>
      <c r="AP1374" s="2">
        <v>42831</v>
      </c>
      <c r="AQ1374" t="s">
        <v>72</v>
      </c>
      <c r="AR1374" t="s">
        <v>72</v>
      </c>
      <c r="AS1374">
        <v>703</v>
      </c>
      <c r="AT1374" s="4">
        <v>42797</v>
      </c>
      <c r="AU1374" t="s">
        <v>73</v>
      </c>
      <c r="AV1374">
        <v>703</v>
      </c>
      <c r="AW1374" s="4">
        <v>42797</v>
      </c>
      <c r="BB1374">
        <v>143</v>
      </c>
      <c r="BD1374">
        <v>0</v>
      </c>
      <c r="BN1374" t="s">
        <v>74</v>
      </c>
    </row>
    <row r="1375" spans="1:66">
      <c r="A1375">
        <v>102094</v>
      </c>
      <c r="B1375" t="s">
        <v>335</v>
      </c>
      <c r="C1375" s="1">
        <v>43300101</v>
      </c>
      <c r="D1375" t="s">
        <v>67</v>
      </c>
      <c r="H1375" t="str">
        <f t="shared" si="177"/>
        <v>00784230872</v>
      </c>
      <c r="I1375" t="str">
        <f t="shared" si="177"/>
        <v>00784230872</v>
      </c>
      <c r="K1375" t="str">
        <f>""</f>
        <v/>
      </c>
      <c r="M1375" t="s">
        <v>68</v>
      </c>
      <c r="N1375" t="str">
        <f t="shared" si="175"/>
        <v>FOR</v>
      </c>
      <c r="O1375" t="s">
        <v>69</v>
      </c>
      <c r="P1375" t="s">
        <v>75</v>
      </c>
      <c r="Q1375">
        <v>2016</v>
      </c>
      <c r="R1375" s="4">
        <v>42622</v>
      </c>
      <c r="S1375" s="2">
        <v>42640</v>
      </c>
      <c r="T1375" s="2">
        <v>42633</v>
      </c>
      <c r="U1375" s="4">
        <v>42693</v>
      </c>
      <c r="V1375" t="s">
        <v>71</v>
      </c>
      <c r="W1375" t="str">
        <f>"              5817 E"</f>
        <v xml:space="preserve">              5817 E</v>
      </c>
      <c r="X1375">
        <v>793</v>
      </c>
      <c r="Y1375">
        <v>0</v>
      </c>
      <c r="Z1375" s="5">
        <v>650</v>
      </c>
      <c r="AA1375" s="3">
        <v>104</v>
      </c>
      <c r="AB1375" s="5">
        <v>67600</v>
      </c>
      <c r="AC1375">
        <v>650</v>
      </c>
      <c r="AD1375">
        <v>104</v>
      </c>
      <c r="AE1375" s="1">
        <v>67600</v>
      </c>
      <c r="AF1375">
        <v>143</v>
      </c>
      <c r="AJ1375">
        <v>0</v>
      </c>
      <c r="AK1375">
        <v>0</v>
      </c>
      <c r="AL1375">
        <v>0</v>
      </c>
      <c r="AM1375">
        <v>0</v>
      </c>
      <c r="AN1375">
        <v>0</v>
      </c>
      <c r="AO1375">
        <v>0</v>
      </c>
      <c r="AP1375" s="2">
        <v>42831</v>
      </c>
      <c r="AQ1375" t="s">
        <v>72</v>
      </c>
      <c r="AR1375" t="s">
        <v>72</v>
      </c>
      <c r="AS1375">
        <v>703</v>
      </c>
      <c r="AT1375" s="4">
        <v>42797</v>
      </c>
      <c r="AU1375" t="s">
        <v>73</v>
      </c>
      <c r="AV1375">
        <v>703</v>
      </c>
      <c r="AW1375" s="4">
        <v>42797</v>
      </c>
      <c r="BB1375">
        <v>143</v>
      </c>
      <c r="BD1375">
        <v>0</v>
      </c>
      <c r="BN1375" t="s">
        <v>74</v>
      </c>
    </row>
    <row r="1376" spans="1:66">
      <c r="A1376">
        <v>102094</v>
      </c>
      <c r="B1376" t="s">
        <v>335</v>
      </c>
      <c r="C1376" s="1">
        <v>43300101</v>
      </c>
      <c r="D1376" t="s">
        <v>67</v>
      </c>
      <c r="H1376" t="str">
        <f t="shared" si="177"/>
        <v>00784230872</v>
      </c>
      <c r="I1376" t="str">
        <f t="shared" si="177"/>
        <v>00784230872</v>
      </c>
      <c r="K1376" t="str">
        <f>""</f>
        <v/>
      </c>
      <c r="M1376" t="s">
        <v>68</v>
      </c>
      <c r="N1376" t="str">
        <f t="shared" si="175"/>
        <v>FOR</v>
      </c>
      <c r="O1376" t="s">
        <v>69</v>
      </c>
      <c r="P1376" t="s">
        <v>75</v>
      </c>
      <c r="Q1376">
        <v>2016</v>
      </c>
      <c r="R1376" s="4">
        <v>42622</v>
      </c>
      <c r="S1376" s="2">
        <v>42640</v>
      </c>
      <c r="T1376" s="2">
        <v>42633</v>
      </c>
      <c r="U1376" s="4">
        <v>42693</v>
      </c>
      <c r="V1376" t="s">
        <v>71</v>
      </c>
      <c r="W1376" t="str">
        <f>"              5818 E"</f>
        <v xml:space="preserve">              5818 E</v>
      </c>
      <c r="X1376">
        <v>907.68</v>
      </c>
      <c r="Y1376">
        <v>0</v>
      </c>
      <c r="Z1376" s="5">
        <v>744</v>
      </c>
      <c r="AA1376" s="3">
        <v>104</v>
      </c>
      <c r="AB1376" s="5">
        <v>77376</v>
      </c>
      <c r="AC1376">
        <v>744</v>
      </c>
      <c r="AD1376">
        <v>104</v>
      </c>
      <c r="AE1376" s="1">
        <v>77376</v>
      </c>
      <c r="AF1376">
        <v>163.68</v>
      </c>
      <c r="AJ1376">
        <v>0</v>
      </c>
      <c r="AK1376">
        <v>0</v>
      </c>
      <c r="AL1376">
        <v>0</v>
      </c>
      <c r="AM1376">
        <v>0</v>
      </c>
      <c r="AN1376">
        <v>0</v>
      </c>
      <c r="AO1376">
        <v>0</v>
      </c>
      <c r="AP1376" s="2">
        <v>42831</v>
      </c>
      <c r="AQ1376" t="s">
        <v>72</v>
      </c>
      <c r="AR1376" t="s">
        <v>72</v>
      </c>
      <c r="AS1376">
        <v>703</v>
      </c>
      <c r="AT1376" s="4">
        <v>42797</v>
      </c>
      <c r="AU1376" t="s">
        <v>73</v>
      </c>
      <c r="AV1376">
        <v>703</v>
      </c>
      <c r="AW1376" s="4">
        <v>42797</v>
      </c>
      <c r="BB1376">
        <v>163.68</v>
      </c>
      <c r="BD1376">
        <v>0</v>
      </c>
      <c r="BN1376" t="s">
        <v>74</v>
      </c>
    </row>
    <row r="1377" spans="1:66">
      <c r="A1377">
        <v>102094</v>
      </c>
      <c r="B1377" t="s">
        <v>335</v>
      </c>
      <c r="C1377" s="1">
        <v>43300101</v>
      </c>
      <c r="D1377" t="s">
        <v>67</v>
      </c>
      <c r="H1377" t="str">
        <f t="shared" si="177"/>
        <v>00784230872</v>
      </c>
      <c r="I1377" t="str">
        <f t="shared" si="177"/>
        <v>00784230872</v>
      </c>
      <c r="K1377" t="str">
        <f>""</f>
        <v/>
      </c>
      <c r="M1377" t="s">
        <v>68</v>
      </c>
      <c r="N1377" t="str">
        <f t="shared" si="175"/>
        <v>FOR</v>
      </c>
      <c r="O1377" t="s">
        <v>69</v>
      </c>
      <c r="P1377" t="s">
        <v>75</v>
      </c>
      <c r="Q1377">
        <v>2016</v>
      </c>
      <c r="R1377" s="4">
        <v>42622</v>
      </c>
      <c r="S1377" s="2">
        <v>42640</v>
      </c>
      <c r="T1377" s="2">
        <v>42633</v>
      </c>
      <c r="U1377" s="4">
        <v>42693</v>
      </c>
      <c r="V1377" t="s">
        <v>71</v>
      </c>
      <c r="W1377" t="str">
        <f>"              5819 E"</f>
        <v xml:space="preserve">              5819 E</v>
      </c>
      <c r="X1377">
        <v>512.4</v>
      </c>
      <c r="Y1377">
        <v>0</v>
      </c>
      <c r="Z1377" s="5">
        <v>420</v>
      </c>
      <c r="AA1377" s="3">
        <v>104</v>
      </c>
      <c r="AB1377" s="5">
        <v>43680</v>
      </c>
      <c r="AC1377">
        <v>420</v>
      </c>
      <c r="AD1377">
        <v>104</v>
      </c>
      <c r="AE1377" s="1">
        <v>43680</v>
      </c>
      <c r="AF1377">
        <v>92.4</v>
      </c>
      <c r="AJ1377">
        <v>0</v>
      </c>
      <c r="AK1377">
        <v>0</v>
      </c>
      <c r="AL1377">
        <v>0</v>
      </c>
      <c r="AM1377">
        <v>0</v>
      </c>
      <c r="AN1377">
        <v>0</v>
      </c>
      <c r="AO1377">
        <v>0</v>
      </c>
      <c r="AP1377" s="2">
        <v>42831</v>
      </c>
      <c r="AQ1377" t="s">
        <v>72</v>
      </c>
      <c r="AR1377" t="s">
        <v>72</v>
      </c>
      <c r="AS1377">
        <v>703</v>
      </c>
      <c r="AT1377" s="4">
        <v>42797</v>
      </c>
      <c r="AU1377" t="s">
        <v>73</v>
      </c>
      <c r="AV1377">
        <v>703</v>
      </c>
      <c r="AW1377" s="4">
        <v>42797</v>
      </c>
      <c r="BB1377">
        <v>92.4</v>
      </c>
      <c r="BD1377">
        <v>0</v>
      </c>
      <c r="BN1377" t="s">
        <v>74</v>
      </c>
    </row>
    <row r="1378" spans="1:66">
      <c r="A1378">
        <v>102094</v>
      </c>
      <c r="B1378" t="s">
        <v>335</v>
      </c>
      <c r="C1378" s="1">
        <v>43300101</v>
      </c>
      <c r="D1378" t="s">
        <v>67</v>
      </c>
      <c r="H1378" t="str">
        <f t="shared" si="177"/>
        <v>00784230872</v>
      </c>
      <c r="I1378" t="str">
        <f t="shared" si="177"/>
        <v>00784230872</v>
      </c>
      <c r="K1378" t="str">
        <f>""</f>
        <v/>
      </c>
      <c r="M1378" t="s">
        <v>68</v>
      </c>
      <c r="N1378" t="str">
        <f t="shared" si="175"/>
        <v>FOR</v>
      </c>
      <c r="O1378" t="s">
        <v>69</v>
      </c>
      <c r="P1378" t="s">
        <v>75</v>
      </c>
      <c r="Q1378">
        <v>2016</v>
      </c>
      <c r="R1378" s="4">
        <v>42633</v>
      </c>
      <c r="S1378" s="2">
        <v>42647</v>
      </c>
      <c r="T1378" s="2">
        <v>42646</v>
      </c>
      <c r="U1378" s="4">
        <v>42706</v>
      </c>
      <c r="V1378" t="s">
        <v>71</v>
      </c>
      <c r="W1378" t="str">
        <f>"              6018 E"</f>
        <v xml:space="preserve">              6018 E</v>
      </c>
      <c r="X1378">
        <v>346.48</v>
      </c>
      <c r="Y1378">
        <v>0</v>
      </c>
      <c r="Z1378" s="5">
        <v>284</v>
      </c>
      <c r="AA1378" s="3">
        <v>91</v>
      </c>
      <c r="AB1378" s="5">
        <v>25844</v>
      </c>
      <c r="AC1378">
        <v>284</v>
      </c>
      <c r="AD1378">
        <v>91</v>
      </c>
      <c r="AE1378" s="1">
        <v>25844</v>
      </c>
      <c r="AF1378">
        <v>62.48</v>
      </c>
      <c r="AJ1378">
        <v>0</v>
      </c>
      <c r="AK1378">
        <v>0</v>
      </c>
      <c r="AL1378">
        <v>0</v>
      </c>
      <c r="AM1378">
        <v>0</v>
      </c>
      <c r="AN1378">
        <v>0</v>
      </c>
      <c r="AO1378">
        <v>0</v>
      </c>
      <c r="AP1378" s="2">
        <v>42831</v>
      </c>
      <c r="AQ1378" t="s">
        <v>72</v>
      </c>
      <c r="AR1378" t="s">
        <v>72</v>
      </c>
      <c r="AS1378">
        <v>703</v>
      </c>
      <c r="AT1378" s="4">
        <v>42797</v>
      </c>
      <c r="AU1378" t="s">
        <v>73</v>
      </c>
      <c r="AV1378">
        <v>703</v>
      </c>
      <c r="AW1378" s="4">
        <v>42797</v>
      </c>
      <c r="BA1378">
        <v>62.48</v>
      </c>
      <c r="BD1378">
        <v>0</v>
      </c>
      <c r="BN1378" t="s">
        <v>74</v>
      </c>
    </row>
    <row r="1379" spans="1:66">
      <c r="A1379">
        <v>102094</v>
      </c>
      <c r="B1379" t="s">
        <v>335</v>
      </c>
      <c r="C1379" s="1">
        <v>43300101</v>
      </c>
      <c r="D1379" t="s">
        <v>67</v>
      </c>
      <c r="H1379" t="str">
        <f t="shared" si="177"/>
        <v>00784230872</v>
      </c>
      <c r="I1379" t="str">
        <f t="shared" si="177"/>
        <v>00784230872</v>
      </c>
      <c r="K1379" t="str">
        <f>""</f>
        <v/>
      </c>
      <c r="M1379" t="s">
        <v>68</v>
      </c>
      <c r="N1379" t="str">
        <f t="shared" si="175"/>
        <v>FOR</v>
      </c>
      <c r="O1379" t="s">
        <v>69</v>
      </c>
      <c r="P1379" t="s">
        <v>75</v>
      </c>
      <c r="Q1379">
        <v>2016</v>
      </c>
      <c r="R1379" s="4">
        <v>42684</v>
      </c>
      <c r="S1379" s="2">
        <v>42704</v>
      </c>
      <c r="T1379" s="2">
        <v>42697</v>
      </c>
      <c r="U1379" s="4">
        <v>42757</v>
      </c>
      <c r="V1379" t="s">
        <v>71</v>
      </c>
      <c r="W1379" t="str">
        <f>"              7277 E"</f>
        <v xml:space="preserve">              7277 E</v>
      </c>
      <c r="X1379" s="1">
        <v>1189.5</v>
      </c>
      <c r="Y1379">
        <v>0</v>
      </c>
      <c r="Z1379" s="5">
        <v>975</v>
      </c>
      <c r="AA1379" s="3">
        <v>40</v>
      </c>
      <c r="AB1379" s="5">
        <v>39000</v>
      </c>
      <c r="AC1379">
        <v>975</v>
      </c>
      <c r="AD1379">
        <v>40</v>
      </c>
      <c r="AE1379" s="1">
        <v>39000</v>
      </c>
      <c r="AF1379">
        <v>214.5</v>
      </c>
      <c r="AJ1379">
        <v>0</v>
      </c>
      <c r="AK1379">
        <v>0</v>
      </c>
      <c r="AL1379">
        <v>0</v>
      </c>
      <c r="AM1379">
        <v>0</v>
      </c>
      <c r="AN1379">
        <v>0</v>
      </c>
      <c r="AO1379">
        <v>0</v>
      </c>
      <c r="AP1379" s="2">
        <v>42831</v>
      </c>
      <c r="AQ1379" t="s">
        <v>72</v>
      </c>
      <c r="AR1379" t="s">
        <v>72</v>
      </c>
      <c r="AS1379">
        <v>703</v>
      </c>
      <c r="AT1379" s="4">
        <v>42797</v>
      </c>
      <c r="AU1379" t="s">
        <v>73</v>
      </c>
      <c r="AV1379">
        <v>703</v>
      </c>
      <c r="AW1379" s="4">
        <v>42797</v>
      </c>
      <c r="AZ1379">
        <v>214.5</v>
      </c>
      <c r="BD1379">
        <v>0</v>
      </c>
      <c r="BN1379" t="s">
        <v>74</v>
      </c>
    </row>
    <row r="1380" spans="1:66">
      <c r="A1380">
        <v>102094</v>
      </c>
      <c r="B1380" t="s">
        <v>335</v>
      </c>
      <c r="C1380" s="1">
        <v>43300101</v>
      </c>
      <c r="D1380" t="s">
        <v>67</v>
      </c>
      <c r="H1380" t="str">
        <f t="shared" si="177"/>
        <v>00784230872</v>
      </c>
      <c r="I1380" t="str">
        <f t="shared" si="177"/>
        <v>00784230872</v>
      </c>
      <c r="K1380" t="str">
        <f>""</f>
        <v/>
      </c>
      <c r="M1380" t="s">
        <v>68</v>
      </c>
      <c r="N1380" t="str">
        <f t="shared" si="175"/>
        <v>FOR</v>
      </c>
      <c r="O1380" t="s">
        <v>69</v>
      </c>
      <c r="P1380" t="s">
        <v>75</v>
      </c>
      <c r="Q1380">
        <v>2016</v>
      </c>
      <c r="R1380" s="4">
        <v>42684</v>
      </c>
      <c r="S1380" s="2">
        <v>42704</v>
      </c>
      <c r="T1380" s="2">
        <v>42697</v>
      </c>
      <c r="U1380" s="4">
        <v>42757</v>
      </c>
      <c r="V1380" t="s">
        <v>71</v>
      </c>
      <c r="W1380" t="str">
        <f>"              7278 E"</f>
        <v xml:space="preserve">              7278 E</v>
      </c>
      <c r="X1380">
        <v>907.68</v>
      </c>
      <c r="Y1380">
        <v>0</v>
      </c>
      <c r="Z1380" s="5">
        <v>744</v>
      </c>
      <c r="AA1380" s="3">
        <v>40</v>
      </c>
      <c r="AB1380" s="5">
        <v>29760</v>
      </c>
      <c r="AC1380">
        <v>744</v>
      </c>
      <c r="AD1380">
        <v>40</v>
      </c>
      <c r="AE1380" s="1">
        <v>29760</v>
      </c>
      <c r="AF1380">
        <v>163.68</v>
      </c>
      <c r="AJ1380">
        <v>0</v>
      </c>
      <c r="AK1380">
        <v>0</v>
      </c>
      <c r="AL1380">
        <v>0</v>
      </c>
      <c r="AM1380">
        <v>0</v>
      </c>
      <c r="AN1380">
        <v>0</v>
      </c>
      <c r="AO1380">
        <v>0</v>
      </c>
      <c r="AP1380" s="2">
        <v>42831</v>
      </c>
      <c r="AQ1380" t="s">
        <v>72</v>
      </c>
      <c r="AR1380" t="s">
        <v>72</v>
      </c>
      <c r="AS1380">
        <v>703</v>
      </c>
      <c r="AT1380" s="4">
        <v>42797</v>
      </c>
      <c r="AU1380" t="s">
        <v>73</v>
      </c>
      <c r="AV1380">
        <v>703</v>
      </c>
      <c r="AW1380" s="4">
        <v>42797</v>
      </c>
      <c r="AZ1380">
        <v>163.68</v>
      </c>
      <c r="BD1380">
        <v>0</v>
      </c>
      <c r="BN1380" t="s">
        <v>74</v>
      </c>
    </row>
    <row r="1381" spans="1:66">
      <c r="A1381">
        <v>102094</v>
      </c>
      <c r="B1381" t="s">
        <v>335</v>
      </c>
      <c r="C1381" s="1">
        <v>43300101</v>
      </c>
      <c r="D1381" t="s">
        <v>67</v>
      </c>
      <c r="H1381" t="str">
        <f t="shared" si="177"/>
        <v>00784230872</v>
      </c>
      <c r="I1381" t="str">
        <f t="shared" si="177"/>
        <v>00784230872</v>
      </c>
      <c r="K1381" t="str">
        <f>""</f>
        <v/>
      </c>
      <c r="M1381" t="s">
        <v>68</v>
      </c>
      <c r="N1381" t="str">
        <f t="shared" si="175"/>
        <v>FOR</v>
      </c>
      <c r="O1381" t="s">
        <v>69</v>
      </c>
      <c r="P1381" t="s">
        <v>75</v>
      </c>
      <c r="Q1381">
        <v>2016</v>
      </c>
      <c r="R1381" s="4">
        <v>42704</v>
      </c>
      <c r="S1381" s="2">
        <v>42718</v>
      </c>
      <c r="T1381" s="2">
        <v>42713</v>
      </c>
      <c r="U1381" s="4">
        <v>42773</v>
      </c>
      <c r="V1381" t="s">
        <v>71</v>
      </c>
      <c r="W1381" t="str">
        <f>"              7726 E"</f>
        <v xml:space="preserve">              7726 E</v>
      </c>
      <c r="X1381" s="1">
        <v>1139.48</v>
      </c>
      <c r="Y1381">
        <v>0</v>
      </c>
      <c r="Z1381" s="5">
        <v>934</v>
      </c>
      <c r="AA1381" s="3">
        <v>24</v>
      </c>
      <c r="AB1381" s="5">
        <v>22416</v>
      </c>
      <c r="AC1381">
        <v>934</v>
      </c>
      <c r="AD1381">
        <v>24</v>
      </c>
      <c r="AE1381" s="1">
        <v>22416</v>
      </c>
      <c r="AF1381">
        <v>205.48</v>
      </c>
      <c r="AJ1381">
        <v>0</v>
      </c>
      <c r="AK1381">
        <v>0</v>
      </c>
      <c r="AL1381">
        <v>0</v>
      </c>
      <c r="AM1381">
        <v>0</v>
      </c>
      <c r="AN1381">
        <v>0</v>
      </c>
      <c r="AO1381">
        <v>0</v>
      </c>
      <c r="AP1381" s="2">
        <v>42831</v>
      </c>
      <c r="AQ1381" t="s">
        <v>72</v>
      </c>
      <c r="AR1381" t="s">
        <v>72</v>
      </c>
      <c r="AS1381">
        <v>703</v>
      </c>
      <c r="AT1381" s="4">
        <v>42797</v>
      </c>
      <c r="AU1381" t="s">
        <v>73</v>
      </c>
      <c r="AV1381">
        <v>703</v>
      </c>
      <c r="AW1381" s="4">
        <v>42797</v>
      </c>
      <c r="AY1381">
        <v>205.48</v>
      </c>
      <c r="BD1381">
        <v>0</v>
      </c>
      <c r="BN1381" t="s">
        <v>74</v>
      </c>
    </row>
    <row r="1382" spans="1:66">
      <c r="A1382">
        <v>102094</v>
      </c>
      <c r="B1382" t="s">
        <v>335</v>
      </c>
      <c r="C1382" s="1">
        <v>43300101</v>
      </c>
      <c r="D1382" t="s">
        <v>67</v>
      </c>
      <c r="H1382" t="str">
        <f t="shared" si="177"/>
        <v>00784230872</v>
      </c>
      <c r="I1382" t="str">
        <f t="shared" si="177"/>
        <v>00784230872</v>
      </c>
      <c r="K1382" t="str">
        <f>""</f>
        <v/>
      </c>
      <c r="M1382" t="s">
        <v>68</v>
      </c>
      <c r="N1382" t="str">
        <f t="shared" si="175"/>
        <v>FOR</v>
      </c>
      <c r="O1382" t="s">
        <v>69</v>
      </c>
      <c r="P1382" t="s">
        <v>75</v>
      </c>
      <c r="Q1382">
        <v>2016</v>
      </c>
      <c r="R1382" s="4">
        <v>42711</v>
      </c>
      <c r="S1382" s="2">
        <v>42725</v>
      </c>
      <c r="T1382" s="2">
        <v>42723</v>
      </c>
      <c r="U1382" s="4">
        <v>42783</v>
      </c>
      <c r="V1382" t="s">
        <v>71</v>
      </c>
      <c r="W1382" t="str">
        <f>"              7976 E"</f>
        <v xml:space="preserve">              7976 E</v>
      </c>
      <c r="X1382">
        <v>226.92</v>
      </c>
      <c r="Y1382">
        <v>0</v>
      </c>
      <c r="Z1382" s="5">
        <v>186</v>
      </c>
      <c r="AA1382" s="3">
        <v>14</v>
      </c>
      <c r="AB1382" s="5">
        <v>2604</v>
      </c>
      <c r="AC1382">
        <v>186</v>
      </c>
      <c r="AD1382">
        <v>14</v>
      </c>
      <c r="AE1382" s="1">
        <v>2604</v>
      </c>
      <c r="AF1382">
        <v>40.92</v>
      </c>
      <c r="AJ1382">
        <v>0</v>
      </c>
      <c r="AK1382">
        <v>0</v>
      </c>
      <c r="AL1382">
        <v>0</v>
      </c>
      <c r="AM1382">
        <v>0</v>
      </c>
      <c r="AN1382">
        <v>0</v>
      </c>
      <c r="AO1382">
        <v>0</v>
      </c>
      <c r="AP1382" s="2">
        <v>42831</v>
      </c>
      <c r="AQ1382" t="s">
        <v>72</v>
      </c>
      <c r="AR1382" t="s">
        <v>72</v>
      </c>
      <c r="AS1382">
        <v>703</v>
      </c>
      <c r="AT1382" s="4">
        <v>42797</v>
      </c>
      <c r="AU1382" t="s">
        <v>73</v>
      </c>
      <c r="AV1382">
        <v>703</v>
      </c>
      <c r="AW1382" s="4">
        <v>42797</v>
      </c>
      <c r="AY1382">
        <v>40.92</v>
      </c>
      <c r="BD1382">
        <v>0</v>
      </c>
      <c r="BN1382" t="s">
        <v>74</v>
      </c>
    </row>
    <row r="1383" spans="1:66">
      <c r="A1383">
        <v>102094</v>
      </c>
      <c r="B1383" t="s">
        <v>335</v>
      </c>
      <c r="C1383" s="1">
        <v>43300101</v>
      </c>
      <c r="D1383" t="s">
        <v>67</v>
      </c>
      <c r="H1383" t="str">
        <f t="shared" si="177"/>
        <v>00784230872</v>
      </c>
      <c r="I1383" t="str">
        <f t="shared" si="177"/>
        <v>00784230872</v>
      </c>
      <c r="K1383" t="str">
        <f>""</f>
        <v/>
      </c>
      <c r="M1383" t="s">
        <v>68</v>
      </c>
      <c r="N1383" t="str">
        <f t="shared" si="175"/>
        <v>FOR</v>
      </c>
      <c r="O1383" t="s">
        <v>69</v>
      </c>
      <c r="P1383" t="s">
        <v>75</v>
      </c>
      <c r="Q1383">
        <v>2016</v>
      </c>
      <c r="R1383" s="4">
        <v>42734</v>
      </c>
      <c r="S1383" s="2">
        <v>42753</v>
      </c>
      <c r="T1383" s="2">
        <v>42751</v>
      </c>
      <c r="U1383" s="4">
        <v>42811</v>
      </c>
      <c r="V1383" t="s">
        <v>71</v>
      </c>
      <c r="W1383" t="str">
        <f>"              8406 E"</f>
        <v xml:space="preserve">              8406 E</v>
      </c>
      <c r="X1383" s="1">
        <v>1134.5999999999999</v>
      </c>
      <c r="Y1383">
        <v>0</v>
      </c>
      <c r="Z1383" s="5">
        <v>930</v>
      </c>
      <c r="AA1383" s="3">
        <v>-14</v>
      </c>
      <c r="AB1383" s="5">
        <v>-13020</v>
      </c>
      <c r="AC1383">
        <v>930</v>
      </c>
      <c r="AD1383">
        <v>-14</v>
      </c>
      <c r="AE1383" s="1">
        <v>-13020</v>
      </c>
      <c r="AF1383">
        <v>204.6</v>
      </c>
      <c r="AJ1383">
        <v>0</v>
      </c>
      <c r="AK1383" s="1">
        <v>1134.5999999999999</v>
      </c>
      <c r="AL1383">
        <v>0</v>
      </c>
      <c r="AM1383">
        <v>0</v>
      </c>
      <c r="AN1383" s="1">
        <v>1134.5999999999999</v>
      </c>
      <c r="AO1383">
        <v>0</v>
      </c>
      <c r="AP1383" s="2">
        <v>42831</v>
      </c>
      <c r="AQ1383" t="s">
        <v>72</v>
      </c>
      <c r="AR1383" t="s">
        <v>72</v>
      </c>
      <c r="AS1383">
        <v>703</v>
      </c>
      <c r="AT1383" s="4">
        <v>42797</v>
      </c>
      <c r="AV1383">
        <v>703</v>
      </c>
      <c r="AW1383" s="4">
        <v>42797</v>
      </c>
      <c r="AX1383">
        <v>204.6</v>
      </c>
      <c r="BD1383">
        <v>0</v>
      </c>
      <c r="BN1383" t="s">
        <v>74</v>
      </c>
    </row>
    <row r="1384" spans="1:66">
      <c r="A1384">
        <v>102154</v>
      </c>
      <c r="B1384" t="s">
        <v>336</v>
      </c>
      <c r="C1384" s="1">
        <v>43300101</v>
      </c>
      <c r="D1384" t="s">
        <v>67</v>
      </c>
      <c r="H1384" t="str">
        <f t="shared" ref="H1384:I1387" si="178">"03222390159"</f>
        <v>03222390159</v>
      </c>
      <c r="I1384" t="str">
        <f t="shared" si="178"/>
        <v>03222390159</v>
      </c>
      <c r="K1384" t="str">
        <f>""</f>
        <v/>
      </c>
      <c r="M1384" t="s">
        <v>68</v>
      </c>
      <c r="N1384" t="str">
        <f t="shared" si="175"/>
        <v>FOR</v>
      </c>
      <c r="O1384" t="s">
        <v>69</v>
      </c>
      <c r="P1384" t="s">
        <v>75</v>
      </c>
      <c r="Q1384">
        <v>2016</v>
      </c>
      <c r="R1384" s="4">
        <v>42460</v>
      </c>
      <c r="S1384" s="2">
        <v>42465</v>
      </c>
      <c r="T1384" s="2">
        <v>42464</v>
      </c>
      <c r="U1384" s="4">
        <v>42524</v>
      </c>
      <c r="V1384" t="s">
        <v>71</v>
      </c>
      <c r="W1384" t="str">
        <f>"          2016008611"</f>
        <v xml:space="preserve">          2016008611</v>
      </c>
      <c r="X1384" s="1">
        <v>3581.62</v>
      </c>
      <c r="Y1384">
        <v>0</v>
      </c>
      <c r="Z1384" s="5">
        <v>2935.75</v>
      </c>
      <c r="AA1384" s="3">
        <v>244</v>
      </c>
      <c r="AB1384" s="5">
        <v>716323</v>
      </c>
      <c r="AC1384" s="1">
        <v>2935.75</v>
      </c>
      <c r="AD1384">
        <v>244</v>
      </c>
      <c r="AE1384" s="1">
        <v>716323</v>
      </c>
      <c r="AF1384">
        <v>0</v>
      </c>
      <c r="AJ1384">
        <v>0</v>
      </c>
      <c r="AK1384">
        <v>0</v>
      </c>
      <c r="AL1384">
        <v>0</v>
      </c>
      <c r="AM1384">
        <v>0</v>
      </c>
      <c r="AN1384">
        <v>0</v>
      </c>
      <c r="AO1384">
        <v>0</v>
      </c>
      <c r="AP1384" s="2">
        <v>42831</v>
      </c>
      <c r="AQ1384" t="s">
        <v>72</v>
      </c>
      <c r="AR1384" t="s">
        <v>72</v>
      </c>
      <c r="AS1384">
        <v>224</v>
      </c>
      <c r="AT1384" s="4">
        <v>42768</v>
      </c>
      <c r="AU1384" t="s">
        <v>73</v>
      </c>
      <c r="AV1384">
        <v>224</v>
      </c>
      <c r="AW1384" s="4">
        <v>42768</v>
      </c>
      <c r="BD1384">
        <v>0</v>
      </c>
      <c r="BN1384" t="s">
        <v>74</v>
      </c>
    </row>
    <row r="1385" spans="1:66">
      <c r="A1385">
        <v>102154</v>
      </c>
      <c r="B1385" t="s">
        <v>336</v>
      </c>
      <c r="C1385" s="1">
        <v>43300101</v>
      </c>
      <c r="D1385" t="s">
        <v>67</v>
      </c>
      <c r="H1385" t="str">
        <f t="shared" si="178"/>
        <v>03222390159</v>
      </c>
      <c r="I1385" t="str">
        <f t="shared" si="178"/>
        <v>03222390159</v>
      </c>
      <c r="K1385" t="str">
        <f>""</f>
        <v/>
      </c>
      <c r="M1385" t="s">
        <v>68</v>
      </c>
      <c r="N1385" t="str">
        <f t="shared" si="175"/>
        <v>FOR</v>
      </c>
      <c r="O1385" t="s">
        <v>69</v>
      </c>
      <c r="P1385" t="s">
        <v>75</v>
      </c>
      <c r="Q1385">
        <v>2016</v>
      </c>
      <c r="R1385" s="4">
        <v>42473</v>
      </c>
      <c r="S1385" s="2">
        <v>42478</v>
      </c>
      <c r="T1385" s="2">
        <v>42474</v>
      </c>
      <c r="U1385" s="4">
        <v>42534</v>
      </c>
      <c r="V1385" t="s">
        <v>71</v>
      </c>
      <c r="W1385" t="str">
        <f>"          2016010397"</f>
        <v xml:space="preserve">          2016010397</v>
      </c>
      <c r="X1385" s="1">
        <v>2431.6999999999998</v>
      </c>
      <c r="Y1385">
        <v>0</v>
      </c>
      <c r="Z1385" s="5">
        <v>1993.2</v>
      </c>
      <c r="AA1385" s="3">
        <v>247</v>
      </c>
      <c r="AB1385" s="5">
        <v>492320.4</v>
      </c>
      <c r="AC1385" s="1">
        <v>1993.2</v>
      </c>
      <c r="AD1385">
        <v>247</v>
      </c>
      <c r="AE1385" s="1">
        <v>492320.4</v>
      </c>
      <c r="AF1385">
        <v>0</v>
      </c>
      <c r="AJ1385">
        <v>0</v>
      </c>
      <c r="AK1385">
        <v>0</v>
      </c>
      <c r="AL1385">
        <v>0</v>
      </c>
      <c r="AM1385">
        <v>0</v>
      </c>
      <c r="AN1385">
        <v>0</v>
      </c>
      <c r="AO1385">
        <v>0</v>
      </c>
      <c r="AP1385" s="2">
        <v>42831</v>
      </c>
      <c r="AQ1385" t="s">
        <v>72</v>
      </c>
      <c r="AR1385" t="s">
        <v>72</v>
      </c>
      <c r="AS1385">
        <v>453</v>
      </c>
      <c r="AT1385" s="4">
        <v>42781</v>
      </c>
      <c r="AU1385" t="s">
        <v>73</v>
      </c>
      <c r="AV1385">
        <v>453</v>
      </c>
      <c r="AW1385" s="4">
        <v>42781</v>
      </c>
      <c r="BD1385">
        <v>0</v>
      </c>
      <c r="BN1385" t="s">
        <v>74</v>
      </c>
    </row>
    <row r="1386" spans="1:66">
      <c r="A1386">
        <v>102154</v>
      </c>
      <c r="B1386" t="s">
        <v>336</v>
      </c>
      <c r="C1386" s="1">
        <v>43300101</v>
      </c>
      <c r="D1386" t="s">
        <v>67</v>
      </c>
      <c r="H1386" t="str">
        <f t="shared" si="178"/>
        <v>03222390159</v>
      </c>
      <c r="I1386" t="str">
        <f t="shared" si="178"/>
        <v>03222390159</v>
      </c>
      <c r="K1386" t="str">
        <f>""</f>
        <v/>
      </c>
      <c r="M1386" t="s">
        <v>68</v>
      </c>
      <c r="N1386" t="str">
        <f t="shared" si="175"/>
        <v>FOR</v>
      </c>
      <c r="O1386" t="s">
        <v>69</v>
      </c>
      <c r="P1386" t="s">
        <v>75</v>
      </c>
      <c r="Q1386">
        <v>2016</v>
      </c>
      <c r="R1386" s="4">
        <v>42499</v>
      </c>
      <c r="S1386" s="2">
        <v>42501</v>
      </c>
      <c r="T1386" s="2">
        <v>42500</v>
      </c>
      <c r="U1386" s="4">
        <v>42560</v>
      </c>
      <c r="V1386" t="s">
        <v>71</v>
      </c>
      <c r="W1386" t="str">
        <f>"          2016012905"</f>
        <v xml:space="preserve">          2016012905</v>
      </c>
      <c r="X1386">
        <v>415.29</v>
      </c>
      <c r="Y1386">
        <v>0</v>
      </c>
      <c r="Z1386" s="5">
        <v>340.4</v>
      </c>
      <c r="AA1386" s="3">
        <v>235</v>
      </c>
      <c r="AB1386" s="5">
        <v>79994</v>
      </c>
      <c r="AC1386">
        <v>340.4</v>
      </c>
      <c r="AD1386">
        <v>235</v>
      </c>
      <c r="AE1386" s="1">
        <v>79994</v>
      </c>
      <c r="AF1386">
        <v>74.89</v>
      </c>
      <c r="AJ1386">
        <v>0</v>
      </c>
      <c r="AK1386">
        <v>0</v>
      </c>
      <c r="AL1386">
        <v>0</v>
      </c>
      <c r="AM1386">
        <v>0</v>
      </c>
      <c r="AN1386">
        <v>0</v>
      </c>
      <c r="AO1386">
        <v>0</v>
      </c>
      <c r="AP1386" s="2">
        <v>42831</v>
      </c>
      <c r="AQ1386" t="s">
        <v>72</v>
      </c>
      <c r="AR1386" t="s">
        <v>72</v>
      </c>
      <c r="AS1386">
        <v>637</v>
      </c>
      <c r="AT1386" s="4">
        <v>42795</v>
      </c>
      <c r="AU1386" t="s">
        <v>73</v>
      </c>
      <c r="AV1386">
        <v>637</v>
      </c>
      <c r="AW1386" s="4">
        <v>42795</v>
      </c>
      <c r="BD1386">
        <v>74.89</v>
      </c>
      <c r="BN1386" t="s">
        <v>74</v>
      </c>
    </row>
    <row r="1387" spans="1:66">
      <c r="A1387">
        <v>102154</v>
      </c>
      <c r="B1387" t="s">
        <v>336</v>
      </c>
      <c r="C1387" s="1">
        <v>43300101</v>
      </c>
      <c r="D1387" t="s">
        <v>67</v>
      </c>
      <c r="H1387" t="str">
        <f t="shared" si="178"/>
        <v>03222390159</v>
      </c>
      <c r="I1387" t="str">
        <f t="shared" si="178"/>
        <v>03222390159</v>
      </c>
      <c r="K1387" t="str">
        <f>""</f>
        <v/>
      </c>
      <c r="M1387" t="s">
        <v>68</v>
      </c>
      <c r="N1387" t="str">
        <f t="shared" ref="N1387:N1397" si="179">"FOR"</f>
        <v>FOR</v>
      </c>
      <c r="O1387" t="s">
        <v>69</v>
      </c>
      <c r="P1387" t="s">
        <v>75</v>
      </c>
      <c r="Q1387">
        <v>2016</v>
      </c>
      <c r="R1387" s="4">
        <v>42544</v>
      </c>
      <c r="S1387" s="2">
        <v>42550</v>
      </c>
      <c r="T1387" s="2">
        <v>42545</v>
      </c>
      <c r="U1387" s="4">
        <v>42605</v>
      </c>
      <c r="V1387" t="s">
        <v>71</v>
      </c>
      <c r="W1387" t="str">
        <f>"          2016017638"</f>
        <v xml:space="preserve">          2016017638</v>
      </c>
      <c r="X1387" s="1">
        <v>1981.77</v>
      </c>
      <c r="Y1387">
        <v>0</v>
      </c>
      <c r="Z1387" s="5">
        <v>1624.4</v>
      </c>
      <c r="AA1387" s="3">
        <v>190</v>
      </c>
      <c r="AB1387" s="5">
        <v>308636</v>
      </c>
      <c r="AC1387" s="1">
        <v>1624.4</v>
      </c>
      <c r="AD1387">
        <v>190</v>
      </c>
      <c r="AE1387" s="1">
        <v>308636</v>
      </c>
      <c r="AF1387">
        <v>357.37</v>
      </c>
      <c r="AJ1387">
        <v>0</v>
      </c>
      <c r="AK1387">
        <v>0</v>
      </c>
      <c r="AL1387">
        <v>0</v>
      </c>
      <c r="AM1387">
        <v>0</v>
      </c>
      <c r="AN1387">
        <v>0</v>
      </c>
      <c r="AO1387">
        <v>0</v>
      </c>
      <c r="AP1387" s="2">
        <v>42831</v>
      </c>
      <c r="AQ1387" t="s">
        <v>72</v>
      </c>
      <c r="AR1387" t="s">
        <v>72</v>
      </c>
      <c r="AS1387">
        <v>637</v>
      </c>
      <c r="AT1387" s="4">
        <v>42795</v>
      </c>
      <c r="AU1387" t="s">
        <v>73</v>
      </c>
      <c r="AV1387">
        <v>637</v>
      </c>
      <c r="AW1387" s="4">
        <v>42795</v>
      </c>
      <c r="BD1387">
        <v>357.37</v>
      </c>
      <c r="BN1387" t="s">
        <v>74</v>
      </c>
    </row>
    <row r="1388" spans="1:66">
      <c r="A1388">
        <v>102209</v>
      </c>
      <c r="B1388" t="s">
        <v>337</v>
      </c>
      <c r="C1388" s="1">
        <v>43300101</v>
      </c>
      <c r="D1388" t="s">
        <v>67</v>
      </c>
      <c r="H1388" t="str">
        <f t="shared" ref="H1388:I1392" si="180">"00934000621"</f>
        <v>00934000621</v>
      </c>
      <c r="I1388" t="str">
        <f t="shared" si="180"/>
        <v>00934000621</v>
      </c>
      <c r="K1388" t="str">
        <f>""</f>
        <v/>
      </c>
      <c r="M1388" t="s">
        <v>68</v>
      </c>
      <c r="N1388" t="str">
        <f t="shared" si="179"/>
        <v>FOR</v>
      </c>
      <c r="O1388" t="s">
        <v>69</v>
      </c>
      <c r="P1388" t="s">
        <v>75</v>
      </c>
      <c r="Q1388">
        <v>2016</v>
      </c>
      <c r="R1388" s="4">
        <v>42580</v>
      </c>
      <c r="S1388" s="2">
        <v>42702</v>
      </c>
      <c r="T1388" s="2">
        <v>42698</v>
      </c>
      <c r="U1388" s="4">
        <v>42758</v>
      </c>
      <c r="V1388" t="s">
        <v>71</v>
      </c>
      <c r="W1388" t="str">
        <f>"    4016012000000478"</f>
        <v xml:space="preserve">    4016012000000478</v>
      </c>
      <c r="X1388" s="1">
        <v>20805.61</v>
      </c>
      <c r="Y1388" s="1">
        <v>-1891.42</v>
      </c>
      <c r="Z1388" s="5">
        <v>18914.189999999999</v>
      </c>
      <c r="AA1388" s="3">
        <v>8</v>
      </c>
      <c r="AB1388" s="5">
        <v>151313.51999999999</v>
      </c>
      <c r="AC1388" s="1">
        <v>18914.189999999999</v>
      </c>
      <c r="AD1388">
        <v>8</v>
      </c>
      <c r="AE1388" s="1">
        <v>151313.51999999999</v>
      </c>
      <c r="AF1388">
        <v>0</v>
      </c>
      <c r="AJ1388">
        <v>0</v>
      </c>
      <c r="AK1388">
        <v>0</v>
      </c>
      <c r="AL1388">
        <v>0</v>
      </c>
      <c r="AM1388">
        <v>0</v>
      </c>
      <c r="AN1388">
        <v>0</v>
      </c>
      <c r="AO1388">
        <v>0</v>
      </c>
      <c r="AP1388" s="2">
        <v>42831</v>
      </c>
      <c r="AQ1388" t="s">
        <v>72</v>
      </c>
      <c r="AR1388" t="s">
        <v>72</v>
      </c>
      <c r="AS1388">
        <v>154</v>
      </c>
      <c r="AT1388" s="4">
        <v>42766</v>
      </c>
      <c r="AU1388" t="s">
        <v>73</v>
      </c>
      <c r="AV1388">
        <v>154</v>
      </c>
      <c r="AW1388" s="4">
        <v>42766</v>
      </c>
      <c r="BD1388">
        <v>0</v>
      </c>
      <c r="BN1388" t="s">
        <v>74</v>
      </c>
    </row>
    <row r="1389" spans="1:66">
      <c r="A1389">
        <v>102209</v>
      </c>
      <c r="B1389" t="s">
        <v>337</v>
      </c>
      <c r="C1389" s="1">
        <v>43300101</v>
      </c>
      <c r="D1389" t="s">
        <v>67</v>
      </c>
      <c r="H1389" t="str">
        <f t="shared" si="180"/>
        <v>00934000621</v>
      </c>
      <c r="I1389" t="str">
        <f t="shared" si="180"/>
        <v>00934000621</v>
      </c>
      <c r="K1389" t="str">
        <f>""</f>
        <v/>
      </c>
      <c r="M1389" t="s">
        <v>68</v>
      </c>
      <c r="N1389" t="str">
        <f t="shared" si="179"/>
        <v>FOR</v>
      </c>
      <c r="O1389" t="s">
        <v>69</v>
      </c>
      <c r="P1389" t="s">
        <v>75</v>
      </c>
      <c r="Q1389">
        <v>2016</v>
      </c>
      <c r="R1389" s="4">
        <v>42655</v>
      </c>
      <c r="S1389" s="2">
        <v>42702</v>
      </c>
      <c r="T1389" s="2">
        <v>42698</v>
      </c>
      <c r="U1389" s="4">
        <v>42758</v>
      </c>
      <c r="V1389" t="s">
        <v>71</v>
      </c>
      <c r="W1389" t="str">
        <f>"    4016012000000787"</f>
        <v xml:space="preserve">    4016012000000787</v>
      </c>
      <c r="X1389">
        <v>28.46</v>
      </c>
      <c r="Y1389">
        <v>-2.59</v>
      </c>
      <c r="Z1389" s="5">
        <v>25.87</v>
      </c>
      <c r="AA1389" s="3">
        <v>8</v>
      </c>
      <c r="AB1389" s="3">
        <v>206.96</v>
      </c>
      <c r="AC1389">
        <v>25.87</v>
      </c>
      <c r="AD1389">
        <v>8</v>
      </c>
      <c r="AE1389">
        <v>206.96</v>
      </c>
      <c r="AF1389">
        <v>0</v>
      </c>
      <c r="AJ1389">
        <v>0</v>
      </c>
      <c r="AK1389">
        <v>0</v>
      </c>
      <c r="AL1389">
        <v>0</v>
      </c>
      <c r="AM1389">
        <v>0</v>
      </c>
      <c r="AN1389">
        <v>0</v>
      </c>
      <c r="AO1389">
        <v>0</v>
      </c>
      <c r="AP1389" s="2">
        <v>42831</v>
      </c>
      <c r="AQ1389" t="s">
        <v>72</v>
      </c>
      <c r="AR1389" t="s">
        <v>72</v>
      </c>
      <c r="AS1389">
        <v>154</v>
      </c>
      <c r="AT1389" s="4">
        <v>42766</v>
      </c>
      <c r="AU1389" t="s">
        <v>73</v>
      </c>
      <c r="AV1389">
        <v>154</v>
      </c>
      <c r="AW1389" s="4">
        <v>42766</v>
      </c>
      <c r="BD1389">
        <v>0</v>
      </c>
      <c r="BN1389" t="s">
        <v>74</v>
      </c>
    </row>
    <row r="1390" spans="1:66">
      <c r="A1390">
        <v>102209</v>
      </c>
      <c r="B1390" t="s">
        <v>337</v>
      </c>
      <c r="C1390" s="1">
        <v>43300101</v>
      </c>
      <c r="D1390" t="s">
        <v>67</v>
      </c>
      <c r="H1390" t="str">
        <f t="shared" si="180"/>
        <v>00934000621</v>
      </c>
      <c r="I1390" t="str">
        <f t="shared" si="180"/>
        <v>00934000621</v>
      </c>
      <c r="K1390" t="str">
        <f>""</f>
        <v/>
      </c>
      <c r="M1390" t="s">
        <v>68</v>
      </c>
      <c r="N1390" t="str">
        <f t="shared" si="179"/>
        <v>FOR</v>
      </c>
      <c r="O1390" t="s">
        <v>69</v>
      </c>
      <c r="P1390" t="s">
        <v>75</v>
      </c>
      <c r="Q1390">
        <v>2016</v>
      </c>
      <c r="R1390" s="4">
        <v>42689</v>
      </c>
      <c r="S1390" s="2">
        <v>42702</v>
      </c>
      <c r="T1390" s="2">
        <v>42698</v>
      </c>
      <c r="U1390" s="4">
        <v>42758</v>
      </c>
      <c r="V1390" t="s">
        <v>71</v>
      </c>
      <c r="W1390" t="str">
        <f>"    4016012000001112"</f>
        <v xml:space="preserve">    4016012000001112</v>
      </c>
      <c r="X1390" s="1">
        <v>39237.39</v>
      </c>
      <c r="Y1390" s="1">
        <v>-3567.04</v>
      </c>
      <c r="Z1390" s="5">
        <v>35670.35</v>
      </c>
      <c r="AA1390" s="3">
        <v>39</v>
      </c>
      <c r="AB1390" s="5">
        <v>1391143.65</v>
      </c>
      <c r="AC1390" s="1">
        <v>35670.35</v>
      </c>
      <c r="AD1390">
        <v>39</v>
      </c>
      <c r="AE1390" s="1">
        <v>1391143.65</v>
      </c>
      <c r="AF1390">
        <v>0</v>
      </c>
      <c r="AJ1390">
        <v>0</v>
      </c>
      <c r="AK1390">
        <v>0</v>
      </c>
      <c r="AL1390">
        <v>0</v>
      </c>
      <c r="AM1390">
        <v>0</v>
      </c>
      <c r="AN1390">
        <v>0</v>
      </c>
      <c r="AO1390">
        <v>0</v>
      </c>
      <c r="AP1390" s="2">
        <v>42831</v>
      </c>
      <c r="AQ1390" t="s">
        <v>72</v>
      </c>
      <c r="AR1390" t="s">
        <v>72</v>
      </c>
      <c r="AS1390">
        <v>722</v>
      </c>
      <c r="AT1390" s="4">
        <v>42797</v>
      </c>
      <c r="AU1390" t="s">
        <v>73</v>
      </c>
      <c r="AV1390">
        <v>722</v>
      </c>
      <c r="AW1390" s="4">
        <v>42797</v>
      </c>
      <c r="BD1390">
        <v>0</v>
      </c>
      <c r="BN1390" t="s">
        <v>74</v>
      </c>
    </row>
    <row r="1391" spans="1:66">
      <c r="A1391">
        <v>102209</v>
      </c>
      <c r="B1391" t="s">
        <v>337</v>
      </c>
      <c r="C1391" s="1">
        <v>43300101</v>
      </c>
      <c r="D1391" t="s">
        <v>67</v>
      </c>
      <c r="H1391" t="str">
        <f t="shared" si="180"/>
        <v>00934000621</v>
      </c>
      <c r="I1391" t="str">
        <f t="shared" si="180"/>
        <v>00934000621</v>
      </c>
      <c r="K1391" t="str">
        <f>""</f>
        <v/>
      </c>
      <c r="M1391" t="s">
        <v>68</v>
      </c>
      <c r="N1391" t="str">
        <f t="shared" si="179"/>
        <v>FOR</v>
      </c>
      <c r="O1391" t="s">
        <v>69</v>
      </c>
      <c r="P1391" t="s">
        <v>75</v>
      </c>
      <c r="Q1391">
        <v>2016</v>
      </c>
      <c r="R1391" s="4">
        <v>42689</v>
      </c>
      <c r="S1391" s="2">
        <v>42702</v>
      </c>
      <c r="T1391" s="2">
        <v>42698</v>
      </c>
      <c r="U1391" s="4">
        <v>42758</v>
      </c>
      <c r="V1391" t="s">
        <v>71</v>
      </c>
      <c r="W1391" t="str">
        <f>"    4016012000001113"</f>
        <v xml:space="preserve">    4016012000001113</v>
      </c>
      <c r="X1391" s="1">
        <v>20436.490000000002</v>
      </c>
      <c r="Y1391" s="1">
        <v>-1857.86</v>
      </c>
      <c r="Z1391" s="5">
        <v>18578.63</v>
      </c>
      <c r="AA1391" s="3">
        <v>8</v>
      </c>
      <c r="AB1391" s="5">
        <v>148629.04</v>
      </c>
      <c r="AC1391" s="1">
        <v>18578.63</v>
      </c>
      <c r="AD1391">
        <v>8</v>
      </c>
      <c r="AE1391" s="1">
        <v>148629.04</v>
      </c>
      <c r="AF1391">
        <v>0</v>
      </c>
      <c r="AJ1391">
        <v>0</v>
      </c>
      <c r="AK1391">
        <v>0</v>
      </c>
      <c r="AL1391">
        <v>0</v>
      </c>
      <c r="AM1391">
        <v>0</v>
      </c>
      <c r="AN1391">
        <v>0</v>
      </c>
      <c r="AO1391">
        <v>0</v>
      </c>
      <c r="AP1391" s="2">
        <v>42831</v>
      </c>
      <c r="AQ1391" t="s">
        <v>72</v>
      </c>
      <c r="AR1391" t="s">
        <v>72</v>
      </c>
      <c r="AS1391">
        <v>154</v>
      </c>
      <c r="AT1391" s="4">
        <v>42766</v>
      </c>
      <c r="AU1391" t="s">
        <v>73</v>
      </c>
      <c r="AV1391">
        <v>154</v>
      </c>
      <c r="AW1391" s="4">
        <v>42766</v>
      </c>
      <c r="BD1391">
        <v>0</v>
      </c>
      <c r="BN1391" t="s">
        <v>74</v>
      </c>
    </row>
    <row r="1392" spans="1:66">
      <c r="A1392">
        <v>102209</v>
      </c>
      <c r="B1392" t="s">
        <v>337</v>
      </c>
      <c r="C1392" s="1">
        <v>43300101</v>
      </c>
      <c r="D1392" t="s">
        <v>67</v>
      </c>
      <c r="H1392" t="str">
        <f t="shared" si="180"/>
        <v>00934000621</v>
      </c>
      <c r="I1392" t="str">
        <f t="shared" si="180"/>
        <v>00934000621</v>
      </c>
      <c r="K1392" t="str">
        <f>""</f>
        <v/>
      </c>
      <c r="M1392" t="s">
        <v>68</v>
      </c>
      <c r="N1392" t="str">
        <f t="shared" si="179"/>
        <v>FOR</v>
      </c>
      <c r="O1392" t="s">
        <v>69</v>
      </c>
      <c r="P1392" t="s">
        <v>75</v>
      </c>
      <c r="Q1392">
        <v>2016</v>
      </c>
      <c r="R1392" s="4">
        <v>42702</v>
      </c>
      <c r="S1392" s="2">
        <v>42725</v>
      </c>
      <c r="T1392" s="2">
        <v>42725</v>
      </c>
      <c r="U1392" s="4">
        <v>42785</v>
      </c>
      <c r="V1392" t="s">
        <v>71</v>
      </c>
      <c r="W1392" t="str">
        <f>"    4016012000001218"</f>
        <v xml:space="preserve">    4016012000001218</v>
      </c>
      <c r="X1392" s="1">
        <v>16025.61</v>
      </c>
      <c r="Y1392" s="1">
        <v>-1456.87</v>
      </c>
      <c r="Z1392" s="5">
        <v>14568.74</v>
      </c>
      <c r="AA1392" s="3">
        <v>12</v>
      </c>
      <c r="AB1392" s="5">
        <v>174824.88</v>
      </c>
      <c r="AC1392" s="1">
        <v>14568.74</v>
      </c>
      <c r="AD1392">
        <v>12</v>
      </c>
      <c r="AE1392" s="1">
        <v>174824.88</v>
      </c>
      <c r="AF1392">
        <v>0</v>
      </c>
      <c r="AJ1392">
        <v>0</v>
      </c>
      <c r="AK1392">
        <v>0</v>
      </c>
      <c r="AL1392">
        <v>0</v>
      </c>
      <c r="AM1392">
        <v>0</v>
      </c>
      <c r="AN1392">
        <v>0</v>
      </c>
      <c r="AO1392">
        <v>0</v>
      </c>
      <c r="AP1392" s="2">
        <v>42831</v>
      </c>
      <c r="AQ1392" t="s">
        <v>72</v>
      </c>
      <c r="AR1392" t="s">
        <v>72</v>
      </c>
      <c r="AS1392">
        <v>722</v>
      </c>
      <c r="AT1392" s="4">
        <v>42797</v>
      </c>
      <c r="AU1392" t="s">
        <v>73</v>
      </c>
      <c r="AV1392">
        <v>722</v>
      </c>
      <c r="AW1392" s="4">
        <v>42797</v>
      </c>
      <c r="BD1392">
        <v>0</v>
      </c>
      <c r="BN1392" t="s">
        <v>74</v>
      </c>
    </row>
    <row r="1393" spans="1:66">
      <c r="A1393">
        <v>102302</v>
      </c>
      <c r="B1393" t="s">
        <v>338</v>
      </c>
      <c r="C1393" s="1">
        <v>43300101</v>
      </c>
      <c r="D1393" t="s">
        <v>67</v>
      </c>
      <c r="H1393" t="str">
        <f>"93517310152"</f>
        <v>93517310152</v>
      </c>
      <c r="I1393" t="str">
        <f>"11492820151"</f>
        <v>11492820151</v>
      </c>
      <c r="K1393" t="str">
        <f>""</f>
        <v/>
      </c>
      <c r="M1393" t="s">
        <v>68</v>
      </c>
      <c r="N1393" t="str">
        <f t="shared" si="179"/>
        <v>FOR</v>
      </c>
      <c r="O1393" t="s">
        <v>69</v>
      </c>
      <c r="P1393" t="s">
        <v>75</v>
      </c>
      <c r="Q1393">
        <v>2016</v>
      </c>
      <c r="R1393" s="4">
        <v>42697</v>
      </c>
      <c r="S1393" s="2">
        <v>42711</v>
      </c>
      <c r="T1393" s="2">
        <v>42711</v>
      </c>
      <c r="U1393" s="4">
        <v>42771</v>
      </c>
      <c r="V1393" t="s">
        <v>71</v>
      </c>
      <c r="W1393" t="str">
        <f>"          0016220622"</f>
        <v xml:space="preserve">          0016220622</v>
      </c>
      <c r="X1393">
        <v>151.19999999999999</v>
      </c>
      <c r="Y1393">
        <v>0</v>
      </c>
      <c r="Z1393" s="5">
        <v>145.38</v>
      </c>
      <c r="AA1393" s="3">
        <v>-3</v>
      </c>
      <c r="AB1393" s="3">
        <v>-436.14</v>
      </c>
      <c r="AC1393">
        <v>145.38</v>
      </c>
      <c r="AD1393">
        <v>-3</v>
      </c>
      <c r="AE1393">
        <v>-436.14</v>
      </c>
      <c r="AF1393">
        <v>0</v>
      </c>
      <c r="AJ1393">
        <v>0</v>
      </c>
      <c r="AK1393">
        <v>0</v>
      </c>
      <c r="AL1393">
        <v>0</v>
      </c>
      <c r="AM1393">
        <v>0</v>
      </c>
      <c r="AN1393">
        <v>0</v>
      </c>
      <c r="AO1393">
        <v>0</v>
      </c>
      <c r="AP1393" s="2">
        <v>42831</v>
      </c>
      <c r="AQ1393" t="s">
        <v>72</v>
      </c>
      <c r="AR1393" t="s">
        <v>72</v>
      </c>
      <c r="AS1393">
        <v>252</v>
      </c>
      <c r="AT1393" s="4">
        <v>42768</v>
      </c>
      <c r="AV1393">
        <v>252</v>
      </c>
      <c r="AW1393" s="4">
        <v>42768</v>
      </c>
      <c r="BD1393">
        <v>0</v>
      </c>
      <c r="BN1393" t="s">
        <v>74</v>
      </c>
    </row>
    <row r="1394" spans="1:66">
      <c r="A1394">
        <v>102310</v>
      </c>
      <c r="B1394" t="s">
        <v>339</v>
      </c>
      <c r="C1394" s="1">
        <v>43300101</v>
      </c>
      <c r="D1394" t="s">
        <v>67</v>
      </c>
      <c r="H1394" t="str">
        <f t="shared" ref="H1394:I1397" si="181">"00936980622"</f>
        <v>00936980622</v>
      </c>
      <c r="I1394" t="str">
        <f t="shared" si="181"/>
        <v>00936980622</v>
      </c>
      <c r="K1394" t="str">
        <f>""</f>
        <v/>
      </c>
      <c r="M1394" t="s">
        <v>68</v>
      </c>
      <c r="N1394" t="str">
        <f t="shared" si="179"/>
        <v>FOR</v>
      </c>
      <c r="O1394" t="s">
        <v>69</v>
      </c>
      <c r="P1394" t="s">
        <v>75</v>
      </c>
      <c r="Q1394">
        <v>2016</v>
      </c>
      <c r="R1394" s="4">
        <v>42709</v>
      </c>
      <c r="S1394" s="2">
        <v>42718</v>
      </c>
      <c r="T1394" s="2">
        <v>42718</v>
      </c>
      <c r="U1394" s="4">
        <v>42778</v>
      </c>
      <c r="V1394" t="s">
        <v>71</v>
      </c>
      <c r="W1394" t="str">
        <f>"              040-16"</f>
        <v xml:space="preserve">              040-16</v>
      </c>
      <c r="X1394" s="1">
        <v>4842.18</v>
      </c>
      <c r="Y1394">
        <v>0</v>
      </c>
      <c r="Z1394" s="5">
        <v>3969</v>
      </c>
      <c r="AA1394" s="3">
        <v>23</v>
      </c>
      <c r="AB1394" s="5">
        <v>91287</v>
      </c>
      <c r="AC1394" s="1">
        <v>3969</v>
      </c>
      <c r="AD1394">
        <v>23</v>
      </c>
      <c r="AE1394" s="1">
        <v>91287</v>
      </c>
      <c r="AF1394">
        <v>873.18</v>
      </c>
      <c r="AJ1394">
        <v>0</v>
      </c>
      <c r="AK1394">
        <v>0</v>
      </c>
      <c r="AL1394">
        <v>0</v>
      </c>
      <c r="AM1394">
        <v>0</v>
      </c>
      <c r="AN1394">
        <v>0</v>
      </c>
      <c r="AO1394">
        <v>0</v>
      </c>
      <c r="AP1394" s="2">
        <v>42831</v>
      </c>
      <c r="AQ1394" t="s">
        <v>72</v>
      </c>
      <c r="AR1394" t="s">
        <v>72</v>
      </c>
      <c r="AS1394">
        <v>739</v>
      </c>
      <c r="AT1394" s="4">
        <v>42801</v>
      </c>
      <c r="AU1394" t="s">
        <v>73</v>
      </c>
      <c r="AV1394">
        <v>739</v>
      </c>
      <c r="AW1394" s="4">
        <v>42801</v>
      </c>
      <c r="AY1394">
        <v>873.18</v>
      </c>
      <c r="BD1394">
        <v>0</v>
      </c>
      <c r="BN1394" t="s">
        <v>74</v>
      </c>
    </row>
    <row r="1395" spans="1:66">
      <c r="A1395">
        <v>102310</v>
      </c>
      <c r="B1395" t="s">
        <v>339</v>
      </c>
      <c r="C1395" s="1">
        <v>43300101</v>
      </c>
      <c r="D1395" t="s">
        <v>67</v>
      </c>
      <c r="H1395" t="str">
        <f t="shared" si="181"/>
        <v>00936980622</v>
      </c>
      <c r="I1395" t="str">
        <f t="shared" si="181"/>
        <v>00936980622</v>
      </c>
      <c r="K1395" t="str">
        <f>""</f>
        <v/>
      </c>
      <c r="M1395" t="s">
        <v>68</v>
      </c>
      <c r="N1395" t="str">
        <f t="shared" si="179"/>
        <v>FOR</v>
      </c>
      <c r="O1395" t="s">
        <v>69</v>
      </c>
      <c r="P1395" t="s">
        <v>75</v>
      </c>
      <c r="Q1395">
        <v>2016</v>
      </c>
      <c r="R1395" s="4">
        <v>42713</v>
      </c>
      <c r="S1395" s="2">
        <v>42718</v>
      </c>
      <c r="T1395" s="2">
        <v>42718</v>
      </c>
      <c r="U1395" s="4">
        <v>42778</v>
      </c>
      <c r="V1395" t="s">
        <v>71</v>
      </c>
      <c r="W1395" t="str">
        <f>"              041-16"</f>
        <v xml:space="preserve">              041-16</v>
      </c>
      <c r="X1395" s="1">
        <v>3961.58</v>
      </c>
      <c r="Y1395">
        <v>0</v>
      </c>
      <c r="Z1395" s="5">
        <v>3247.2</v>
      </c>
      <c r="AA1395" s="3">
        <v>40</v>
      </c>
      <c r="AB1395" s="5">
        <v>129888</v>
      </c>
      <c r="AC1395" s="1">
        <v>3247.2</v>
      </c>
      <c r="AD1395">
        <v>40</v>
      </c>
      <c r="AE1395" s="1">
        <v>129888</v>
      </c>
      <c r="AF1395">
        <v>714.38</v>
      </c>
      <c r="AJ1395">
        <v>0</v>
      </c>
      <c r="AK1395">
        <v>0</v>
      </c>
      <c r="AL1395">
        <v>0</v>
      </c>
      <c r="AM1395">
        <v>0</v>
      </c>
      <c r="AN1395">
        <v>0</v>
      </c>
      <c r="AO1395">
        <v>0</v>
      </c>
      <c r="AP1395" s="2">
        <v>42831</v>
      </c>
      <c r="AQ1395" t="s">
        <v>72</v>
      </c>
      <c r="AR1395" t="s">
        <v>72</v>
      </c>
      <c r="AS1395">
        <v>894</v>
      </c>
      <c r="AT1395" s="4">
        <v>42818</v>
      </c>
      <c r="AU1395" t="s">
        <v>73</v>
      </c>
      <c r="AV1395">
        <v>894</v>
      </c>
      <c r="AW1395" s="4">
        <v>42818</v>
      </c>
      <c r="AY1395">
        <v>714.38</v>
      </c>
      <c r="BD1395">
        <v>0</v>
      </c>
      <c r="BN1395" t="s">
        <v>74</v>
      </c>
    </row>
    <row r="1396" spans="1:66">
      <c r="A1396">
        <v>102310</v>
      </c>
      <c r="B1396" t="s">
        <v>339</v>
      </c>
      <c r="C1396" s="1">
        <v>43300101</v>
      </c>
      <c r="D1396" t="s">
        <v>67</v>
      </c>
      <c r="H1396" t="str">
        <f t="shared" si="181"/>
        <v>00936980622</v>
      </c>
      <c r="I1396" t="str">
        <f t="shared" si="181"/>
        <v>00936980622</v>
      </c>
      <c r="K1396" t="str">
        <f>""</f>
        <v/>
      </c>
      <c r="M1396" t="s">
        <v>68</v>
      </c>
      <c r="N1396" t="str">
        <f t="shared" si="179"/>
        <v>FOR</v>
      </c>
      <c r="O1396" t="s">
        <v>69</v>
      </c>
      <c r="P1396" t="s">
        <v>75</v>
      </c>
      <c r="Q1396">
        <v>2016</v>
      </c>
      <c r="R1396" s="4">
        <v>42713</v>
      </c>
      <c r="S1396" s="2">
        <v>42720</v>
      </c>
      <c r="T1396" s="2">
        <v>42719</v>
      </c>
      <c r="U1396" s="4">
        <v>42779</v>
      </c>
      <c r="V1396" t="s">
        <v>71</v>
      </c>
      <c r="W1396" t="str">
        <f>"              042-16"</f>
        <v xml:space="preserve">              042-16</v>
      </c>
      <c r="X1396" s="1">
        <v>4150.4399999999996</v>
      </c>
      <c r="Y1396">
        <v>0</v>
      </c>
      <c r="Z1396" s="5">
        <v>3402</v>
      </c>
      <c r="AA1396" s="3">
        <v>22</v>
      </c>
      <c r="AB1396" s="5">
        <v>74844</v>
      </c>
      <c r="AC1396" s="1">
        <v>3402</v>
      </c>
      <c r="AD1396">
        <v>22</v>
      </c>
      <c r="AE1396" s="1">
        <v>74844</v>
      </c>
      <c r="AF1396">
        <v>748.44</v>
      </c>
      <c r="AJ1396">
        <v>0</v>
      </c>
      <c r="AK1396">
        <v>0</v>
      </c>
      <c r="AL1396">
        <v>0</v>
      </c>
      <c r="AM1396">
        <v>0</v>
      </c>
      <c r="AN1396">
        <v>0</v>
      </c>
      <c r="AO1396">
        <v>0</v>
      </c>
      <c r="AP1396" s="2">
        <v>42831</v>
      </c>
      <c r="AQ1396" t="s">
        <v>72</v>
      </c>
      <c r="AR1396" t="s">
        <v>72</v>
      </c>
      <c r="AS1396">
        <v>739</v>
      </c>
      <c r="AT1396" s="4">
        <v>42801</v>
      </c>
      <c r="AU1396" t="s">
        <v>73</v>
      </c>
      <c r="AV1396">
        <v>739</v>
      </c>
      <c r="AW1396" s="4">
        <v>42801</v>
      </c>
      <c r="AY1396">
        <v>748.44</v>
      </c>
      <c r="BD1396">
        <v>0</v>
      </c>
      <c r="BN1396" t="s">
        <v>74</v>
      </c>
    </row>
    <row r="1397" spans="1:66">
      <c r="A1397">
        <v>102310</v>
      </c>
      <c r="B1397" t="s">
        <v>339</v>
      </c>
      <c r="C1397" s="1">
        <v>43300101</v>
      </c>
      <c r="D1397" t="s">
        <v>67</v>
      </c>
      <c r="H1397" t="str">
        <f t="shared" si="181"/>
        <v>00936980622</v>
      </c>
      <c r="I1397" t="str">
        <f t="shared" si="181"/>
        <v>00936980622</v>
      </c>
      <c r="K1397" t="str">
        <f>""</f>
        <v/>
      </c>
      <c r="M1397" t="s">
        <v>68</v>
      </c>
      <c r="N1397" t="str">
        <f t="shared" si="179"/>
        <v>FOR</v>
      </c>
      <c r="O1397" t="s">
        <v>69</v>
      </c>
      <c r="P1397" t="s">
        <v>75</v>
      </c>
      <c r="Q1397">
        <v>2016</v>
      </c>
      <c r="R1397" s="4">
        <v>42713</v>
      </c>
      <c r="S1397" s="2">
        <v>42718</v>
      </c>
      <c r="T1397" s="2">
        <v>42718</v>
      </c>
      <c r="U1397" s="4">
        <v>42778</v>
      </c>
      <c r="V1397" t="s">
        <v>71</v>
      </c>
      <c r="W1397" t="str">
        <f>"              044-16"</f>
        <v xml:space="preserve">              044-16</v>
      </c>
      <c r="X1397" s="1">
        <v>4982.93</v>
      </c>
      <c r="Y1397">
        <v>0</v>
      </c>
      <c r="Z1397" s="5">
        <v>4084.37</v>
      </c>
      <c r="AA1397" s="3">
        <v>40</v>
      </c>
      <c r="AB1397" s="5">
        <v>163374.79999999999</v>
      </c>
      <c r="AC1397" s="1">
        <v>4084.37</v>
      </c>
      <c r="AD1397">
        <v>40</v>
      </c>
      <c r="AE1397" s="1">
        <v>163374.79999999999</v>
      </c>
      <c r="AF1397">
        <v>898.56</v>
      </c>
      <c r="AJ1397">
        <v>0</v>
      </c>
      <c r="AK1397">
        <v>0</v>
      </c>
      <c r="AL1397">
        <v>0</v>
      </c>
      <c r="AM1397">
        <v>0</v>
      </c>
      <c r="AN1397">
        <v>0</v>
      </c>
      <c r="AO1397">
        <v>0</v>
      </c>
      <c r="AP1397" s="2">
        <v>42831</v>
      </c>
      <c r="AQ1397" t="s">
        <v>72</v>
      </c>
      <c r="AR1397" t="s">
        <v>72</v>
      </c>
      <c r="AS1397">
        <v>894</v>
      </c>
      <c r="AT1397" s="4">
        <v>42818</v>
      </c>
      <c r="AU1397" t="s">
        <v>73</v>
      </c>
      <c r="AV1397">
        <v>894</v>
      </c>
      <c r="AW1397" s="4">
        <v>42818</v>
      </c>
      <c r="AY1397">
        <v>898.56</v>
      </c>
      <c r="BD1397">
        <v>0</v>
      </c>
      <c r="BN1397" t="s">
        <v>74</v>
      </c>
    </row>
    <row r="1398" spans="1:66" hidden="1">
      <c r="A1398">
        <v>102414</v>
      </c>
      <c r="B1398" t="s">
        <v>340</v>
      </c>
      <c r="C1398" s="1">
        <v>43500101</v>
      </c>
      <c r="D1398" t="s">
        <v>98</v>
      </c>
      <c r="H1398" t="str">
        <f t="shared" ref="H1398:I1400" si="182">"00079760328"</f>
        <v>00079760328</v>
      </c>
      <c r="I1398" t="str">
        <f t="shared" si="182"/>
        <v>00079760328</v>
      </c>
      <c r="K1398" t="str">
        <f>""</f>
        <v/>
      </c>
      <c r="M1398" t="s">
        <v>68</v>
      </c>
      <c r="N1398" t="str">
        <f>"ALTFIN"</f>
        <v>ALTFIN</v>
      </c>
      <c r="O1398" t="s">
        <v>102</v>
      </c>
      <c r="P1398" t="s">
        <v>82</v>
      </c>
      <c r="Q1398">
        <v>2017</v>
      </c>
      <c r="R1398" s="4">
        <v>42755</v>
      </c>
      <c r="S1398" s="2">
        <v>42755</v>
      </c>
      <c r="T1398" s="2">
        <v>42755</v>
      </c>
      <c r="U1398" s="4">
        <v>42815</v>
      </c>
      <c r="V1398" t="s">
        <v>71</v>
      </c>
      <c r="W1398" t="str">
        <f>"                0120"</f>
        <v xml:space="preserve">                0120</v>
      </c>
      <c r="X1398">
        <v>0</v>
      </c>
      <c r="Y1398">
        <v>782.86</v>
      </c>
      <c r="Z1398" s="3">
        <v>782.86</v>
      </c>
      <c r="AA1398" s="3">
        <v>-57</v>
      </c>
      <c r="AB1398" s="5">
        <v>-44623.02</v>
      </c>
      <c r="AC1398">
        <v>782.86</v>
      </c>
      <c r="AD1398">
        <v>-57</v>
      </c>
      <c r="AE1398" s="1">
        <v>-44623.02</v>
      </c>
      <c r="AF1398">
        <v>0</v>
      </c>
      <c r="AJ1398">
        <v>782.86</v>
      </c>
      <c r="AK1398">
        <v>782.86</v>
      </c>
      <c r="AL1398">
        <v>782.86</v>
      </c>
      <c r="AM1398">
        <v>782.86</v>
      </c>
      <c r="AN1398">
        <v>782.86</v>
      </c>
      <c r="AO1398">
        <v>782.86</v>
      </c>
      <c r="AP1398" s="2">
        <v>42831</v>
      </c>
      <c r="AQ1398" t="s">
        <v>72</v>
      </c>
      <c r="AR1398" t="s">
        <v>72</v>
      </c>
      <c r="AS1398">
        <v>62</v>
      </c>
      <c r="AT1398" s="4">
        <v>42758</v>
      </c>
      <c r="AV1398">
        <v>62</v>
      </c>
      <c r="AW1398" s="4">
        <v>42758</v>
      </c>
      <c r="BD1398">
        <v>0</v>
      </c>
      <c r="BN1398" t="s">
        <v>74</v>
      </c>
    </row>
    <row r="1399" spans="1:66" hidden="1">
      <c r="A1399">
        <v>102414</v>
      </c>
      <c r="B1399" t="s">
        <v>340</v>
      </c>
      <c r="C1399" s="1">
        <v>43500101</v>
      </c>
      <c r="D1399" t="s">
        <v>98</v>
      </c>
      <c r="H1399" t="str">
        <f t="shared" si="182"/>
        <v>00079760328</v>
      </c>
      <c r="I1399" t="str">
        <f t="shared" si="182"/>
        <v>00079760328</v>
      </c>
      <c r="K1399" t="str">
        <f>""</f>
        <v/>
      </c>
      <c r="M1399" t="s">
        <v>68</v>
      </c>
      <c r="N1399" t="str">
        <f>"ALTFIN"</f>
        <v>ALTFIN</v>
      </c>
      <c r="O1399" t="s">
        <v>102</v>
      </c>
      <c r="P1399" t="s">
        <v>83</v>
      </c>
      <c r="Q1399">
        <v>2017</v>
      </c>
      <c r="R1399" s="4">
        <v>42786</v>
      </c>
      <c r="S1399" s="2">
        <v>42787</v>
      </c>
      <c r="T1399" s="2">
        <v>42787</v>
      </c>
      <c r="U1399" s="4">
        <v>42847</v>
      </c>
      <c r="V1399" t="s">
        <v>71</v>
      </c>
      <c r="W1399" t="str">
        <f>"                0220"</f>
        <v xml:space="preserve">                0220</v>
      </c>
      <c r="X1399">
        <v>0</v>
      </c>
      <c r="Y1399">
        <v>782.86</v>
      </c>
      <c r="Z1399" s="3">
        <v>782.86</v>
      </c>
      <c r="AA1399" s="3">
        <v>-60</v>
      </c>
      <c r="AB1399" s="5">
        <v>-46971.6</v>
      </c>
      <c r="AC1399">
        <v>782.86</v>
      </c>
      <c r="AD1399">
        <v>-60</v>
      </c>
      <c r="AE1399" s="1">
        <v>-46971.6</v>
      </c>
      <c r="AF1399">
        <v>0</v>
      </c>
      <c r="AJ1399">
        <v>782.86</v>
      </c>
      <c r="AK1399">
        <v>782.86</v>
      </c>
      <c r="AL1399">
        <v>782.86</v>
      </c>
      <c r="AM1399">
        <v>782.86</v>
      </c>
      <c r="AN1399">
        <v>782.86</v>
      </c>
      <c r="AO1399">
        <v>782.86</v>
      </c>
      <c r="AP1399" s="2">
        <v>42831</v>
      </c>
      <c r="AQ1399" t="s">
        <v>72</v>
      </c>
      <c r="AR1399" t="s">
        <v>72</v>
      </c>
      <c r="AS1399">
        <v>542</v>
      </c>
      <c r="AT1399" s="4">
        <v>42787</v>
      </c>
      <c r="AV1399">
        <v>542</v>
      </c>
      <c r="AW1399" s="4">
        <v>42787</v>
      </c>
      <c r="BD1399">
        <v>0</v>
      </c>
      <c r="BN1399" t="s">
        <v>74</v>
      </c>
    </row>
    <row r="1400" spans="1:66" hidden="1">
      <c r="A1400">
        <v>102414</v>
      </c>
      <c r="B1400" t="s">
        <v>340</v>
      </c>
      <c r="C1400" s="1">
        <v>43500101</v>
      </c>
      <c r="D1400" t="s">
        <v>98</v>
      </c>
      <c r="H1400" t="str">
        <f t="shared" si="182"/>
        <v>00079760328</v>
      </c>
      <c r="I1400" t="str">
        <f t="shared" si="182"/>
        <v>00079760328</v>
      </c>
      <c r="K1400" t="str">
        <f>""</f>
        <v/>
      </c>
      <c r="M1400" t="s">
        <v>68</v>
      </c>
      <c r="N1400" t="str">
        <f>"ALTFIN"</f>
        <v>ALTFIN</v>
      </c>
      <c r="O1400" t="s">
        <v>102</v>
      </c>
      <c r="P1400" t="s">
        <v>84</v>
      </c>
      <c r="Q1400">
        <v>2017</v>
      </c>
      <c r="R1400" s="4">
        <v>42815</v>
      </c>
      <c r="S1400" s="2">
        <v>42815</v>
      </c>
      <c r="T1400" s="2">
        <v>42815</v>
      </c>
      <c r="U1400" s="4">
        <v>42875</v>
      </c>
      <c r="V1400" t="s">
        <v>71</v>
      </c>
      <c r="W1400" t="str">
        <f>"                0321"</f>
        <v xml:space="preserve">                0321</v>
      </c>
      <c r="X1400">
        <v>0</v>
      </c>
      <c r="Y1400">
        <v>782.86</v>
      </c>
      <c r="Z1400" s="3">
        <v>782.86</v>
      </c>
      <c r="AA1400" s="3">
        <v>-60</v>
      </c>
      <c r="AB1400" s="5">
        <v>-46971.6</v>
      </c>
      <c r="AC1400">
        <v>782.86</v>
      </c>
      <c r="AD1400">
        <v>-60</v>
      </c>
      <c r="AE1400" s="1">
        <v>-46971.6</v>
      </c>
      <c r="AF1400">
        <v>0</v>
      </c>
      <c r="AJ1400">
        <v>782.86</v>
      </c>
      <c r="AK1400">
        <v>782.86</v>
      </c>
      <c r="AL1400">
        <v>782.86</v>
      </c>
      <c r="AM1400">
        <v>782.86</v>
      </c>
      <c r="AN1400">
        <v>782.86</v>
      </c>
      <c r="AO1400">
        <v>782.86</v>
      </c>
      <c r="AP1400" s="2">
        <v>42831</v>
      </c>
      <c r="AQ1400" t="s">
        <v>72</v>
      </c>
      <c r="AR1400" t="s">
        <v>72</v>
      </c>
      <c r="AS1400">
        <v>839</v>
      </c>
      <c r="AT1400" s="4">
        <v>42815</v>
      </c>
      <c r="AV1400">
        <v>839</v>
      </c>
      <c r="AW1400" s="4">
        <v>42815</v>
      </c>
      <c r="BD1400">
        <v>0</v>
      </c>
      <c r="BN1400" t="s">
        <v>74</v>
      </c>
    </row>
    <row r="1401" spans="1:66">
      <c r="A1401">
        <v>102629</v>
      </c>
      <c r="B1401" t="s">
        <v>341</v>
      </c>
      <c r="C1401" s="1">
        <v>43300101</v>
      </c>
      <c r="D1401" t="s">
        <v>67</v>
      </c>
      <c r="H1401" t="str">
        <f t="shared" ref="H1401:I1417" si="183">"01128810650"</f>
        <v>01128810650</v>
      </c>
      <c r="I1401" t="str">
        <f t="shared" si="183"/>
        <v>01128810650</v>
      </c>
      <c r="K1401" t="str">
        <f>""</f>
        <v/>
      </c>
      <c r="M1401" t="s">
        <v>68</v>
      </c>
      <c r="N1401" t="str">
        <f t="shared" ref="N1401:N1432" si="184">"FOR"</f>
        <v>FOR</v>
      </c>
      <c r="O1401" t="s">
        <v>69</v>
      </c>
      <c r="P1401" t="s">
        <v>75</v>
      </c>
      <c r="Q1401">
        <v>2016</v>
      </c>
      <c r="R1401" s="4">
        <v>42489</v>
      </c>
      <c r="S1401" s="2">
        <v>42495</v>
      </c>
      <c r="T1401" s="2">
        <v>42493</v>
      </c>
      <c r="U1401" s="4">
        <v>42553</v>
      </c>
      <c r="V1401" t="s">
        <v>71</v>
      </c>
      <c r="W1401" t="str">
        <f>"               113/E"</f>
        <v xml:space="preserve">               113/E</v>
      </c>
      <c r="X1401" s="1">
        <v>3416</v>
      </c>
      <c r="Y1401">
        <v>0</v>
      </c>
      <c r="Z1401" s="5">
        <v>2800</v>
      </c>
      <c r="AA1401" s="3">
        <v>212</v>
      </c>
      <c r="AB1401" s="5">
        <v>593600</v>
      </c>
      <c r="AC1401" s="1">
        <v>2800</v>
      </c>
      <c r="AD1401">
        <v>212</v>
      </c>
      <c r="AE1401" s="1">
        <v>593600</v>
      </c>
      <c r="AF1401">
        <v>0</v>
      </c>
      <c r="AJ1401">
        <v>0</v>
      </c>
      <c r="AK1401">
        <v>0</v>
      </c>
      <c r="AL1401">
        <v>0</v>
      </c>
      <c r="AM1401">
        <v>0</v>
      </c>
      <c r="AN1401">
        <v>0</v>
      </c>
      <c r="AO1401">
        <v>0</v>
      </c>
      <c r="AP1401" s="2">
        <v>42831</v>
      </c>
      <c r="AQ1401" t="s">
        <v>72</v>
      </c>
      <c r="AR1401" t="s">
        <v>72</v>
      </c>
      <c r="AS1401">
        <v>152</v>
      </c>
      <c r="AT1401" s="4">
        <v>42765</v>
      </c>
      <c r="AU1401" t="s">
        <v>73</v>
      </c>
      <c r="AV1401">
        <v>152</v>
      </c>
      <c r="AW1401" s="4">
        <v>42765</v>
      </c>
      <c r="BD1401">
        <v>0</v>
      </c>
      <c r="BN1401" t="s">
        <v>74</v>
      </c>
    </row>
    <row r="1402" spans="1:66">
      <c r="A1402">
        <v>102629</v>
      </c>
      <c r="B1402" t="s">
        <v>341</v>
      </c>
      <c r="C1402" s="1">
        <v>43300101</v>
      </c>
      <c r="D1402" t="s">
        <v>67</v>
      </c>
      <c r="H1402" t="str">
        <f t="shared" si="183"/>
        <v>01128810650</v>
      </c>
      <c r="I1402" t="str">
        <f t="shared" si="183"/>
        <v>01128810650</v>
      </c>
      <c r="K1402" t="str">
        <f>""</f>
        <v/>
      </c>
      <c r="M1402" t="s">
        <v>68</v>
      </c>
      <c r="N1402" t="str">
        <f t="shared" si="184"/>
        <v>FOR</v>
      </c>
      <c r="O1402" t="s">
        <v>69</v>
      </c>
      <c r="P1402" t="s">
        <v>75</v>
      </c>
      <c r="Q1402">
        <v>2016</v>
      </c>
      <c r="R1402" s="4">
        <v>42489</v>
      </c>
      <c r="S1402" s="2">
        <v>42495</v>
      </c>
      <c r="T1402" s="2">
        <v>42493</v>
      </c>
      <c r="U1402" s="4">
        <v>42553</v>
      </c>
      <c r="V1402" t="s">
        <v>71</v>
      </c>
      <c r="W1402" t="str">
        <f>"               114/E"</f>
        <v xml:space="preserve">               114/E</v>
      </c>
      <c r="X1402" s="1">
        <v>1360.3</v>
      </c>
      <c r="Y1402">
        <v>0</v>
      </c>
      <c r="Z1402" s="5">
        <v>1115</v>
      </c>
      <c r="AA1402" s="3">
        <v>212</v>
      </c>
      <c r="AB1402" s="5">
        <v>236380</v>
      </c>
      <c r="AC1402" s="1">
        <v>1115</v>
      </c>
      <c r="AD1402">
        <v>212</v>
      </c>
      <c r="AE1402" s="1">
        <v>236380</v>
      </c>
      <c r="AF1402">
        <v>0</v>
      </c>
      <c r="AJ1402">
        <v>0</v>
      </c>
      <c r="AK1402">
        <v>0</v>
      </c>
      <c r="AL1402">
        <v>0</v>
      </c>
      <c r="AM1402">
        <v>0</v>
      </c>
      <c r="AN1402">
        <v>0</v>
      </c>
      <c r="AO1402">
        <v>0</v>
      </c>
      <c r="AP1402" s="2">
        <v>42831</v>
      </c>
      <c r="AQ1402" t="s">
        <v>72</v>
      </c>
      <c r="AR1402" t="s">
        <v>72</v>
      </c>
      <c r="AS1402">
        <v>152</v>
      </c>
      <c r="AT1402" s="4">
        <v>42765</v>
      </c>
      <c r="AU1402" t="s">
        <v>73</v>
      </c>
      <c r="AV1402">
        <v>152</v>
      </c>
      <c r="AW1402" s="4">
        <v>42765</v>
      </c>
      <c r="BD1402">
        <v>0</v>
      </c>
      <c r="BN1402" t="s">
        <v>74</v>
      </c>
    </row>
    <row r="1403" spans="1:66">
      <c r="A1403">
        <v>102629</v>
      </c>
      <c r="B1403" t="s">
        <v>341</v>
      </c>
      <c r="C1403" s="1">
        <v>43300101</v>
      </c>
      <c r="D1403" t="s">
        <v>67</v>
      </c>
      <c r="H1403" t="str">
        <f t="shared" si="183"/>
        <v>01128810650</v>
      </c>
      <c r="I1403" t="str">
        <f t="shared" si="183"/>
        <v>01128810650</v>
      </c>
      <c r="K1403" t="str">
        <f>""</f>
        <v/>
      </c>
      <c r="M1403" t="s">
        <v>68</v>
      </c>
      <c r="N1403" t="str">
        <f t="shared" si="184"/>
        <v>FOR</v>
      </c>
      <c r="O1403" t="s">
        <v>69</v>
      </c>
      <c r="P1403" t="s">
        <v>75</v>
      </c>
      <c r="Q1403">
        <v>2016</v>
      </c>
      <c r="R1403" s="4">
        <v>42499</v>
      </c>
      <c r="S1403" s="2">
        <v>42500</v>
      </c>
      <c r="T1403" s="2">
        <v>42500</v>
      </c>
      <c r="U1403" s="4">
        <v>42560</v>
      </c>
      <c r="V1403" t="s">
        <v>71</v>
      </c>
      <c r="W1403" t="str">
        <f>"               121/E"</f>
        <v xml:space="preserve">               121/E</v>
      </c>
      <c r="X1403" s="1">
        <v>3536.17</v>
      </c>
      <c r="Y1403">
        <v>0</v>
      </c>
      <c r="Z1403" s="5">
        <v>2898.5</v>
      </c>
      <c r="AA1403" s="3">
        <v>205</v>
      </c>
      <c r="AB1403" s="5">
        <v>594192.5</v>
      </c>
      <c r="AC1403" s="1">
        <v>2898.5</v>
      </c>
      <c r="AD1403">
        <v>205</v>
      </c>
      <c r="AE1403" s="1">
        <v>594192.5</v>
      </c>
      <c r="AF1403">
        <v>0</v>
      </c>
      <c r="AJ1403">
        <v>0</v>
      </c>
      <c r="AK1403">
        <v>0</v>
      </c>
      <c r="AL1403">
        <v>0</v>
      </c>
      <c r="AM1403">
        <v>0</v>
      </c>
      <c r="AN1403">
        <v>0</v>
      </c>
      <c r="AO1403">
        <v>0</v>
      </c>
      <c r="AP1403" s="2">
        <v>42831</v>
      </c>
      <c r="AQ1403" t="s">
        <v>72</v>
      </c>
      <c r="AR1403" t="s">
        <v>72</v>
      </c>
      <c r="AS1403">
        <v>152</v>
      </c>
      <c r="AT1403" s="4">
        <v>42765</v>
      </c>
      <c r="AU1403" t="s">
        <v>73</v>
      </c>
      <c r="AV1403">
        <v>152</v>
      </c>
      <c r="AW1403" s="4">
        <v>42765</v>
      </c>
      <c r="BD1403">
        <v>0</v>
      </c>
      <c r="BN1403" t="s">
        <v>74</v>
      </c>
    </row>
    <row r="1404" spans="1:66">
      <c r="A1404">
        <v>102629</v>
      </c>
      <c r="B1404" t="s">
        <v>341</v>
      </c>
      <c r="C1404" s="1">
        <v>43300101</v>
      </c>
      <c r="D1404" t="s">
        <v>67</v>
      </c>
      <c r="H1404" t="str">
        <f t="shared" si="183"/>
        <v>01128810650</v>
      </c>
      <c r="I1404" t="str">
        <f t="shared" si="183"/>
        <v>01128810650</v>
      </c>
      <c r="K1404" t="str">
        <f>""</f>
        <v/>
      </c>
      <c r="M1404" t="s">
        <v>68</v>
      </c>
      <c r="N1404" t="str">
        <f t="shared" si="184"/>
        <v>FOR</v>
      </c>
      <c r="O1404" t="s">
        <v>69</v>
      </c>
      <c r="P1404" t="s">
        <v>75</v>
      </c>
      <c r="Q1404">
        <v>2016</v>
      </c>
      <c r="R1404" s="4">
        <v>42506</v>
      </c>
      <c r="S1404" s="2">
        <v>42509</v>
      </c>
      <c r="T1404" s="2">
        <v>42507</v>
      </c>
      <c r="U1404" s="4">
        <v>42567</v>
      </c>
      <c r="V1404" t="s">
        <v>71</v>
      </c>
      <c r="W1404" t="str">
        <f>"               128/E"</f>
        <v xml:space="preserve">               128/E</v>
      </c>
      <c r="X1404">
        <v>273.27999999999997</v>
      </c>
      <c r="Y1404">
        <v>0</v>
      </c>
      <c r="Z1404" s="5">
        <v>224</v>
      </c>
      <c r="AA1404" s="3">
        <v>198</v>
      </c>
      <c r="AB1404" s="5">
        <v>44352</v>
      </c>
      <c r="AC1404">
        <v>224</v>
      </c>
      <c r="AD1404">
        <v>198</v>
      </c>
      <c r="AE1404" s="1">
        <v>44352</v>
      </c>
      <c r="AF1404">
        <v>0</v>
      </c>
      <c r="AJ1404">
        <v>0</v>
      </c>
      <c r="AK1404">
        <v>0</v>
      </c>
      <c r="AL1404">
        <v>0</v>
      </c>
      <c r="AM1404">
        <v>0</v>
      </c>
      <c r="AN1404">
        <v>0</v>
      </c>
      <c r="AO1404">
        <v>0</v>
      </c>
      <c r="AP1404" s="2">
        <v>42831</v>
      </c>
      <c r="AQ1404" t="s">
        <v>72</v>
      </c>
      <c r="AR1404" t="s">
        <v>72</v>
      </c>
      <c r="AS1404">
        <v>152</v>
      </c>
      <c r="AT1404" s="4">
        <v>42765</v>
      </c>
      <c r="AU1404" t="s">
        <v>73</v>
      </c>
      <c r="AV1404">
        <v>152</v>
      </c>
      <c r="AW1404" s="4">
        <v>42765</v>
      </c>
      <c r="BD1404">
        <v>0</v>
      </c>
      <c r="BN1404" t="s">
        <v>74</v>
      </c>
    </row>
    <row r="1405" spans="1:66">
      <c r="A1405">
        <v>102629</v>
      </c>
      <c r="B1405" t="s">
        <v>341</v>
      </c>
      <c r="C1405" s="1">
        <v>43300101</v>
      </c>
      <c r="D1405" t="s">
        <v>67</v>
      </c>
      <c r="H1405" t="str">
        <f t="shared" si="183"/>
        <v>01128810650</v>
      </c>
      <c r="I1405" t="str">
        <f t="shared" si="183"/>
        <v>01128810650</v>
      </c>
      <c r="K1405" t="str">
        <f>""</f>
        <v/>
      </c>
      <c r="M1405" t="s">
        <v>68</v>
      </c>
      <c r="N1405" t="str">
        <f t="shared" si="184"/>
        <v>FOR</v>
      </c>
      <c r="O1405" t="s">
        <v>69</v>
      </c>
      <c r="P1405" t="s">
        <v>75</v>
      </c>
      <c r="Q1405">
        <v>2016</v>
      </c>
      <c r="R1405" s="4">
        <v>42506</v>
      </c>
      <c r="S1405" s="2">
        <v>42509</v>
      </c>
      <c r="T1405" s="2">
        <v>42507</v>
      </c>
      <c r="U1405" s="4">
        <v>42567</v>
      </c>
      <c r="V1405" t="s">
        <v>71</v>
      </c>
      <c r="W1405" t="str">
        <f>"               129/E"</f>
        <v xml:space="preserve">               129/E</v>
      </c>
      <c r="X1405" s="1">
        <v>7673.8</v>
      </c>
      <c r="Y1405">
        <v>0</v>
      </c>
      <c r="Z1405" s="5">
        <v>6290</v>
      </c>
      <c r="AA1405" s="3">
        <v>198</v>
      </c>
      <c r="AB1405" s="5">
        <v>1245420</v>
      </c>
      <c r="AC1405" s="1">
        <v>6290</v>
      </c>
      <c r="AD1405">
        <v>198</v>
      </c>
      <c r="AE1405" s="1">
        <v>1245420</v>
      </c>
      <c r="AF1405">
        <v>0</v>
      </c>
      <c r="AJ1405">
        <v>0</v>
      </c>
      <c r="AK1405">
        <v>0</v>
      </c>
      <c r="AL1405">
        <v>0</v>
      </c>
      <c r="AM1405">
        <v>0</v>
      </c>
      <c r="AN1405">
        <v>0</v>
      </c>
      <c r="AO1405">
        <v>0</v>
      </c>
      <c r="AP1405" s="2">
        <v>42831</v>
      </c>
      <c r="AQ1405" t="s">
        <v>72</v>
      </c>
      <c r="AR1405" t="s">
        <v>72</v>
      </c>
      <c r="AS1405">
        <v>152</v>
      </c>
      <c r="AT1405" s="4">
        <v>42765</v>
      </c>
      <c r="AU1405" t="s">
        <v>73</v>
      </c>
      <c r="AV1405">
        <v>152</v>
      </c>
      <c r="AW1405" s="4">
        <v>42765</v>
      </c>
      <c r="BD1405">
        <v>0</v>
      </c>
      <c r="BN1405" t="s">
        <v>74</v>
      </c>
    </row>
    <row r="1406" spans="1:66">
      <c r="A1406">
        <v>102629</v>
      </c>
      <c r="B1406" t="s">
        <v>341</v>
      </c>
      <c r="C1406" s="1">
        <v>43300101</v>
      </c>
      <c r="D1406" t="s">
        <v>67</v>
      </c>
      <c r="H1406" t="str">
        <f t="shared" si="183"/>
        <v>01128810650</v>
      </c>
      <c r="I1406" t="str">
        <f t="shared" si="183"/>
        <v>01128810650</v>
      </c>
      <c r="K1406" t="str">
        <f>""</f>
        <v/>
      </c>
      <c r="M1406" t="s">
        <v>68</v>
      </c>
      <c r="N1406" t="str">
        <f t="shared" si="184"/>
        <v>FOR</v>
      </c>
      <c r="O1406" t="s">
        <v>69</v>
      </c>
      <c r="P1406" t="s">
        <v>75</v>
      </c>
      <c r="Q1406">
        <v>2016</v>
      </c>
      <c r="R1406" s="4">
        <v>42506</v>
      </c>
      <c r="S1406" s="2">
        <v>42509</v>
      </c>
      <c r="T1406" s="2">
        <v>42507</v>
      </c>
      <c r="U1406" s="4">
        <v>42567</v>
      </c>
      <c r="V1406" t="s">
        <v>71</v>
      </c>
      <c r="W1406" t="str">
        <f>"               130/E"</f>
        <v xml:space="preserve">               130/E</v>
      </c>
      <c r="X1406">
        <v>289.75</v>
      </c>
      <c r="Y1406">
        <v>0</v>
      </c>
      <c r="Z1406" s="5">
        <v>237.5</v>
      </c>
      <c r="AA1406" s="3">
        <v>198</v>
      </c>
      <c r="AB1406" s="5">
        <v>47025</v>
      </c>
      <c r="AC1406">
        <v>237.5</v>
      </c>
      <c r="AD1406">
        <v>198</v>
      </c>
      <c r="AE1406" s="1">
        <v>47025</v>
      </c>
      <c r="AF1406">
        <v>0</v>
      </c>
      <c r="AJ1406">
        <v>0</v>
      </c>
      <c r="AK1406">
        <v>0</v>
      </c>
      <c r="AL1406">
        <v>0</v>
      </c>
      <c r="AM1406">
        <v>0</v>
      </c>
      <c r="AN1406">
        <v>0</v>
      </c>
      <c r="AO1406">
        <v>0</v>
      </c>
      <c r="AP1406" s="2">
        <v>42831</v>
      </c>
      <c r="AQ1406" t="s">
        <v>72</v>
      </c>
      <c r="AR1406" t="s">
        <v>72</v>
      </c>
      <c r="AS1406">
        <v>152</v>
      </c>
      <c r="AT1406" s="4">
        <v>42765</v>
      </c>
      <c r="AU1406" t="s">
        <v>73</v>
      </c>
      <c r="AV1406">
        <v>152</v>
      </c>
      <c r="AW1406" s="4">
        <v>42765</v>
      </c>
      <c r="BD1406">
        <v>0</v>
      </c>
      <c r="BN1406" t="s">
        <v>74</v>
      </c>
    </row>
    <row r="1407" spans="1:66">
      <c r="A1407">
        <v>102629</v>
      </c>
      <c r="B1407" t="s">
        <v>341</v>
      </c>
      <c r="C1407" s="1">
        <v>43300101</v>
      </c>
      <c r="D1407" t="s">
        <v>67</v>
      </c>
      <c r="H1407" t="str">
        <f t="shared" si="183"/>
        <v>01128810650</v>
      </c>
      <c r="I1407" t="str">
        <f t="shared" si="183"/>
        <v>01128810650</v>
      </c>
      <c r="K1407" t="str">
        <f>""</f>
        <v/>
      </c>
      <c r="M1407" t="s">
        <v>68</v>
      </c>
      <c r="N1407" t="str">
        <f t="shared" si="184"/>
        <v>FOR</v>
      </c>
      <c r="O1407" t="s">
        <v>69</v>
      </c>
      <c r="P1407" t="s">
        <v>75</v>
      </c>
      <c r="Q1407">
        <v>2016</v>
      </c>
      <c r="R1407" s="4">
        <v>42520</v>
      </c>
      <c r="S1407" s="2">
        <v>42522</v>
      </c>
      <c r="T1407" s="2">
        <v>42521</v>
      </c>
      <c r="U1407" s="4">
        <v>42581</v>
      </c>
      <c r="V1407" t="s">
        <v>71</v>
      </c>
      <c r="W1407" t="str">
        <f>"               142/E"</f>
        <v xml:space="preserve">               142/E</v>
      </c>
      <c r="X1407" s="1">
        <v>4855.6000000000004</v>
      </c>
      <c r="Y1407">
        <v>0</v>
      </c>
      <c r="Z1407" s="5">
        <v>3980</v>
      </c>
      <c r="AA1407" s="3">
        <v>184</v>
      </c>
      <c r="AB1407" s="5">
        <v>732320</v>
      </c>
      <c r="AC1407" s="1">
        <v>3980</v>
      </c>
      <c r="AD1407">
        <v>184</v>
      </c>
      <c r="AE1407" s="1">
        <v>732320</v>
      </c>
      <c r="AF1407">
        <v>0</v>
      </c>
      <c r="AJ1407">
        <v>0</v>
      </c>
      <c r="AK1407">
        <v>0</v>
      </c>
      <c r="AL1407">
        <v>0</v>
      </c>
      <c r="AM1407">
        <v>0</v>
      </c>
      <c r="AN1407">
        <v>0</v>
      </c>
      <c r="AO1407">
        <v>0</v>
      </c>
      <c r="AP1407" s="2">
        <v>42831</v>
      </c>
      <c r="AQ1407" t="s">
        <v>72</v>
      </c>
      <c r="AR1407" t="s">
        <v>72</v>
      </c>
      <c r="AS1407">
        <v>152</v>
      </c>
      <c r="AT1407" s="4">
        <v>42765</v>
      </c>
      <c r="AU1407" t="s">
        <v>73</v>
      </c>
      <c r="AV1407">
        <v>152</v>
      </c>
      <c r="AW1407" s="4">
        <v>42765</v>
      </c>
      <c r="BD1407">
        <v>0</v>
      </c>
      <c r="BN1407" t="s">
        <v>74</v>
      </c>
    </row>
    <row r="1408" spans="1:66">
      <c r="A1408">
        <v>102629</v>
      </c>
      <c r="B1408" t="s">
        <v>341</v>
      </c>
      <c r="C1408" s="1">
        <v>43300101</v>
      </c>
      <c r="D1408" t="s">
        <v>67</v>
      </c>
      <c r="H1408" t="str">
        <f t="shared" si="183"/>
        <v>01128810650</v>
      </c>
      <c r="I1408" t="str">
        <f t="shared" si="183"/>
        <v>01128810650</v>
      </c>
      <c r="K1408" t="str">
        <f>""</f>
        <v/>
      </c>
      <c r="M1408" t="s">
        <v>68</v>
      </c>
      <c r="N1408" t="str">
        <f t="shared" si="184"/>
        <v>FOR</v>
      </c>
      <c r="O1408" t="s">
        <v>69</v>
      </c>
      <c r="P1408" t="s">
        <v>75</v>
      </c>
      <c r="Q1408">
        <v>2016</v>
      </c>
      <c r="R1408" s="4">
        <v>42534</v>
      </c>
      <c r="S1408" s="2">
        <v>42537</v>
      </c>
      <c r="T1408" s="2">
        <v>42535</v>
      </c>
      <c r="U1408" s="4">
        <v>42595</v>
      </c>
      <c r="V1408" t="s">
        <v>71</v>
      </c>
      <c r="W1408" t="str">
        <f>"               154/E"</f>
        <v xml:space="preserve">               154/E</v>
      </c>
      <c r="X1408" s="1">
        <v>1820.85</v>
      </c>
      <c r="Y1408">
        <v>0</v>
      </c>
      <c r="Z1408" s="5">
        <v>1492.5</v>
      </c>
      <c r="AA1408" s="3">
        <v>170</v>
      </c>
      <c r="AB1408" s="5">
        <v>253725</v>
      </c>
      <c r="AC1408" s="1">
        <v>1492.5</v>
      </c>
      <c r="AD1408">
        <v>170</v>
      </c>
      <c r="AE1408" s="1">
        <v>253725</v>
      </c>
      <c r="AF1408">
        <v>0</v>
      </c>
      <c r="AJ1408">
        <v>0</v>
      </c>
      <c r="AK1408">
        <v>0</v>
      </c>
      <c r="AL1408">
        <v>0</v>
      </c>
      <c r="AM1408">
        <v>0</v>
      </c>
      <c r="AN1408">
        <v>0</v>
      </c>
      <c r="AO1408">
        <v>0</v>
      </c>
      <c r="AP1408" s="2">
        <v>42831</v>
      </c>
      <c r="AQ1408" t="s">
        <v>72</v>
      </c>
      <c r="AR1408" t="s">
        <v>72</v>
      </c>
      <c r="AS1408">
        <v>152</v>
      </c>
      <c r="AT1408" s="4">
        <v>42765</v>
      </c>
      <c r="AU1408" t="s">
        <v>73</v>
      </c>
      <c r="AV1408">
        <v>152</v>
      </c>
      <c r="AW1408" s="4">
        <v>42765</v>
      </c>
      <c r="BD1408">
        <v>0</v>
      </c>
      <c r="BN1408" t="s">
        <v>74</v>
      </c>
    </row>
    <row r="1409" spans="1:66">
      <c r="A1409">
        <v>102629</v>
      </c>
      <c r="B1409" t="s">
        <v>341</v>
      </c>
      <c r="C1409" s="1">
        <v>43300101</v>
      </c>
      <c r="D1409" t="s">
        <v>67</v>
      </c>
      <c r="H1409" t="str">
        <f t="shared" si="183"/>
        <v>01128810650</v>
      </c>
      <c r="I1409" t="str">
        <f t="shared" si="183"/>
        <v>01128810650</v>
      </c>
      <c r="K1409" t="str">
        <f>""</f>
        <v/>
      </c>
      <c r="M1409" t="s">
        <v>68</v>
      </c>
      <c r="N1409" t="str">
        <f t="shared" si="184"/>
        <v>FOR</v>
      </c>
      <c r="O1409" t="s">
        <v>69</v>
      </c>
      <c r="P1409" t="s">
        <v>75</v>
      </c>
      <c r="Q1409">
        <v>2016</v>
      </c>
      <c r="R1409" s="4">
        <v>42548</v>
      </c>
      <c r="S1409" s="2">
        <v>42549</v>
      </c>
      <c r="T1409" s="2">
        <v>42549</v>
      </c>
      <c r="U1409" s="4">
        <v>42609</v>
      </c>
      <c r="V1409" t="s">
        <v>71</v>
      </c>
      <c r="W1409" t="str">
        <f>"               174/E"</f>
        <v xml:space="preserve">               174/E</v>
      </c>
      <c r="X1409" s="1">
        <v>13468.8</v>
      </c>
      <c r="Y1409">
        <v>0</v>
      </c>
      <c r="Z1409" s="5">
        <v>11040</v>
      </c>
      <c r="AA1409" s="3">
        <v>156</v>
      </c>
      <c r="AB1409" s="5">
        <v>1722240</v>
      </c>
      <c r="AC1409" s="1">
        <v>11040</v>
      </c>
      <c r="AD1409">
        <v>156</v>
      </c>
      <c r="AE1409" s="1">
        <v>1722240</v>
      </c>
      <c r="AF1409">
        <v>0</v>
      </c>
      <c r="AJ1409">
        <v>0</v>
      </c>
      <c r="AK1409">
        <v>0</v>
      </c>
      <c r="AL1409">
        <v>0</v>
      </c>
      <c r="AM1409">
        <v>0</v>
      </c>
      <c r="AN1409">
        <v>0</v>
      </c>
      <c r="AO1409">
        <v>0</v>
      </c>
      <c r="AP1409" s="2">
        <v>42831</v>
      </c>
      <c r="AQ1409" t="s">
        <v>72</v>
      </c>
      <c r="AR1409" t="s">
        <v>72</v>
      </c>
      <c r="AS1409">
        <v>152</v>
      </c>
      <c r="AT1409" s="4">
        <v>42765</v>
      </c>
      <c r="AU1409" t="s">
        <v>73</v>
      </c>
      <c r="AV1409">
        <v>152</v>
      </c>
      <c r="AW1409" s="4">
        <v>42765</v>
      </c>
      <c r="BD1409">
        <v>0</v>
      </c>
      <c r="BN1409" t="s">
        <v>74</v>
      </c>
    </row>
    <row r="1410" spans="1:66">
      <c r="A1410">
        <v>102629</v>
      </c>
      <c r="B1410" t="s">
        <v>341</v>
      </c>
      <c r="C1410" s="1">
        <v>43300101</v>
      </c>
      <c r="D1410" t="s">
        <v>67</v>
      </c>
      <c r="H1410" t="str">
        <f t="shared" si="183"/>
        <v>01128810650</v>
      </c>
      <c r="I1410" t="str">
        <f t="shared" si="183"/>
        <v>01128810650</v>
      </c>
      <c r="K1410" t="str">
        <f>""</f>
        <v/>
      </c>
      <c r="M1410" t="s">
        <v>68</v>
      </c>
      <c r="N1410" t="str">
        <f t="shared" si="184"/>
        <v>FOR</v>
      </c>
      <c r="O1410" t="s">
        <v>69</v>
      </c>
      <c r="P1410" t="s">
        <v>75</v>
      </c>
      <c r="Q1410">
        <v>2016</v>
      </c>
      <c r="R1410" s="4">
        <v>42551</v>
      </c>
      <c r="S1410" s="2">
        <v>42558</v>
      </c>
      <c r="T1410" s="2">
        <v>42556</v>
      </c>
      <c r="U1410" s="4">
        <v>42616</v>
      </c>
      <c r="V1410" t="s">
        <v>71</v>
      </c>
      <c r="W1410" t="str">
        <f>"               190/E"</f>
        <v xml:space="preserve">               190/E</v>
      </c>
      <c r="X1410" s="1">
        <v>1105.32</v>
      </c>
      <c r="Y1410">
        <v>0</v>
      </c>
      <c r="Z1410" s="5">
        <v>906</v>
      </c>
      <c r="AA1410" s="3">
        <v>149</v>
      </c>
      <c r="AB1410" s="5">
        <v>134994</v>
      </c>
      <c r="AC1410">
        <v>906</v>
      </c>
      <c r="AD1410">
        <v>149</v>
      </c>
      <c r="AE1410" s="1">
        <v>134994</v>
      </c>
      <c r="AF1410">
        <v>0</v>
      </c>
      <c r="AJ1410">
        <v>0</v>
      </c>
      <c r="AK1410">
        <v>0</v>
      </c>
      <c r="AL1410">
        <v>0</v>
      </c>
      <c r="AM1410">
        <v>0</v>
      </c>
      <c r="AN1410">
        <v>0</v>
      </c>
      <c r="AO1410">
        <v>0</v>
      </c>
      <c r="AP1410" s="2">
        <v>42831</v>
      </c>
      <c r="AQ1410" t="s">
        <v>72</v>
      </c>
      <c r="AR1410" t="s">
        <v>72</v>
      </c>
      <c r="AS1410">
        <v>152</v>
      </c>
      <c r="AT1410" s="4">
        <v>42765</v>
      </c>
      <c r="AU1410" t="s">
        <v>73</v>
      </c>
      <c r="AV1410">
        <v>152</v>
      </c>
      <c r="AW1410" s="4">
        <v>42765</v>
      </c>
      <c r="BD1410">
        <v>0</v>
      </c>
      <c r="BN1410" t="s">
        <v>74</v>
      </c>
    </row>
    <row r="1411" spans="1:66">
      <c r="A1411">
        <v>102629</v>
      </c>
      <c r="B1411" t="s">
        <v>341</v>
      </c>
      <c r="C1411" s="1">
        <v>43300101</v>
      </c>
      <c r="D1411" t="s">
        <v>67</v>
      </c>
      <c r="H1411" t="str">
        <f t="shared" si="183"/>
        <v>01128810650</v>
      </c>
      <c r="I1411" t="str">
        <f t="shared" si="183"/>
        <v>01128810650</v>
      </c>
      <c r="K1411" t="str">
        <f>""</f>
        <v/>
      </c>
      <c r="M1411" t="s">
        <v>68</v>
      </c>
      <c r="N1411" t="str">
        <f t="shared" si="184"/>
        <v>FOR</v>
      </c>
      <c r="O1411" t="s">
        <v>69</v>
      </c>
      <c r="P1411" t="s">
        <v>75</v>
      </c>
      <c r="Q1411">
        <v>2016</v>
      </c>
      <c r="R1411" s="4">
        <v>42569</v>
      </c>
      <c r="S1411" s="2">
        <v>42571</v>
      </c>
      <c r="T1411" s="2">
        <v>42570</v>
      </c>
      <c r="U1411" s="4">
        <v>42630</v>
      </c>
      <c r="V1411" t="s">
        <v>71</v>
      </c>
      <c r="W1411" t="str">
        <f>"               212/E"</f>
        <v xml:space="preserve">               212/E</v>
      </c>
      <c r="X1411" s="1">
        <v>1276.8499999999999</v>
      </c>
      <c r="Y1411">
        <v>0</v>
      </c>
      <c r="Z1411" s="5">
        <v>1046.5999999999999</v>
      </c>
      <c r="AA1411" s="3">
        <v>135</v>
      </c>
      <c r="AB1411" s="5">
        <v>141291</v>
      </c>
      <c r="AC1411" s="1">
        <v>1046.5999999999999</v>
      </c>
      <c r="AD1411">
        <v>135</v>
      </c>
      <c r="AE1411" s="1">
        <v>141291</v>
      </c>
      <c r="AF1411">
        <v>0</v>
      </c>
      <c r="AJ1411">
        <v>0</v>
      </c>
      <c r="AK1411">
        <v>0</v>
      </c>
      <c r="AL1411">
        <v>0</v>
      </c>
      <c r="AM1411">
        <v>0</v>
      </c>
      <c r="AN1411">
        <v>0</v>
      </c>
      <c r="AO1411">
        <v>0</v>
      </c>
      <c r="AP1411" s="2">
        <v>42831</v>
      </c>
      <c r="AQ1411" t="s">
        <v>72</v>
      </c>
      <c r="AR1411" t="s">
        <v>72</v>
      </c>
      <c r="AS1411">
        <v>152</v>
      </c>
      <c r="AT1411" s="4">
        <v>42765</v>
      </c>
      <c r="AU1411" t="s">
        <v>73</v>
      </c>
      <c r="AV1411">
        <v>152</v>
      </c>
      <c r="AW1411" s="4">
        <v>42765</v>
      </c>
      <c r="BD1411">
        <v>0</v>
      </c>
      <c r="BN1411" t="s">
        <v>74</v>
      </c>
    </row>
    <row r="1412" spans="1:66">
      <c r="A1412">
        <v>102629</v>
      </c>
      <c r="B1412" t="s">
        <v>341</v>
      </c>
      <c r="C1412" s="1">
        <v>43300101</v>
      </c>
      <c r="D1412" t="s">
        <v>67</v>
      </c>
      <c r="H1412" t="str">
        <f t="shared" si="183"/>
        <v>01128810650</v>
      </c>
      <c r="I1412" t="str">
        <f t="shared" si="183"/>
        <v>01128810650</v>
      </c>
      <c r="K1412" t="str">
        <f>""</f>
        <v/>
      </c>
      <c r="M1412" t="s">
        <v>68</v>
      </c>
      <c r="N1412" t="str">
        <f t="shared" si="184"/>
        <v>FOR</v>
      </c>
      <c r="O1412" t="s">
        <v>69</v>
      </c>
      <c r="P1412" t="s">
        <v>75</v>
      </c>
      <c r="Q1412">
        <v>2016</v>
      </c>
      <c r="R1412" s="4">
        <v>42580</v>
      </c>
      <c r="S1412" s="2">
        <v>42584</v>
      </c>
      <c r="T1412" s="2">
        <v>42584</v>
      </c>
      <c r="U1412" s="4">
        <v>42644</v>
      </c>
      <c r="V1412" t="s">
        <v>71</v>
      </c>
      <c r="W1412" t="str">
        <f>"               230/E"</f>
        <v xml:space="preserve">               230/E</v>
      </c>
      <c r="X1412" s="1">
        <v>3684.4</v>
      </c>
      <c r="Y1412">
        <v>0</v>
      </c>
      <c r="Z1412" s="5">
        <v>3020</v>
      </c>
      <c r="AA1412" s="3">
        <v>121</v>
      </c>
      <c r="AB1412" s="5">
        <v>365420</v>
      </c>
      <c r="AC1412" s="1">
        <v>3020</v>
      </c>
      <c r="AD1412">
        <v>121</v>
      </c>
      <c r="AE1412" s="1">
        <v>365420</v>
      </c>
      <c r="AF1412">
        <v>0</v>
      </c>
      <c r="AJ1412">
        <v>0</v>
      </c>
      <c r="AK1412">
        <v>0</v>
      </c>
      <c r="AL1412">
        <v>0</v>
      </c>
      <c r="AM1412">
        <v>0</v>
      </c>
      <c r="AN1412">
        <v>0</v>
      </c>
      <c r="AO1412">
        <v>0</v>
      </c>
      <c r="AP1412" s="2">
        <v>42831</v>
      </c>
      <c r="AQ1412" t="s">
        <v>72</v>
      </c>
      <c r="AR1412" t="s">
        <v>72</v>
      </c>
      <c r="AS1412">
        <v>152</v>
      </c>
      <c r="AT1412" s="4">
        <v>42765</v>
      </c>
      <c r="AU1412" t="s">
        <v>73</v>
      </c>
      <c r="AV1412">
        <v>152</v>
      </c>
      <c r="AW1412" s="4">
        <v>42765</v>
      </c>
      <c r="BD1412">
        <v>0</v>
      </c>
      <c r="BN1412" t="s">
        <v>74</v>
      </c>
    </row>
    <row r="1413" spans="1:66">
      <c r="A1413">
        <v>102629</v>
      </c>
      <c r="B1413" t="s">
        <v>341</v>
      </c>
      <c r="C1413" s="1">
        <v>43300101</v>
      </c>
      <c r="D1413" t="s">
        <v>67</v>
      </c>
      <c r="H1413" t="str">
        <f t="shared" si="183"/>
        <v>01128810650</v>
      </c>
      <c r="I1413" t="str">
        <f t="shared" si="183"/>
        <v>01128810650</v>
      </c>
      <c r="K1413" t="str">
        <f>""</f>
        <v/>
      </c>
      <c r="M1413" t="s">
        <v>68</v>
      </c>
      <c r="N1413" t="str">
        <f t="shared" si="184"/>
        <v>FOR</v>
      </c>
      <c r="O1413" t="s">
        <v>69</v>
      </c>
      <c r="P1413" t="s">
        <v>75</v>
      </c>
      <c r="Q1413">
        <v>2016</v>
      </c>
      <c r="R1413" s="4">
        <v>42625</v>
      </c>
      <c r="S1413" s="2">
        <v>42628</v>
      </c>
      <c r="T1413" s="2">
        <v>42626</v>
      </c>
      <c r="U1413" s="4">
        <v>42686</v>
      </c>
      <c r="V1413" t="s">
        <v>71</v>
      </c>
      <c r="W1413" t="str">
        <f>"               268/E"</f>
        <v xml:space="preserve">               268/E</v>
      </c>
      <c r="X1413" s="1">
        <v>2897.5</v>
      </c>
      <c r="Y1413">
        <v>0</v>
      </c>
      <c r="Z1413" s="5">
        <v>2375</v>
      </c>
      <c r="AA1413" s="3">
        <v>107</v>
      </c>
      <c r="AB1413" s="5">
        <v>254125</v>
      </c>
      <c r="AC1413" s="1">
        <v>2375</v>
      </c>
      <c r="AD1413">
        <v>107</v>
      </c>
      <c r="AE1413" s="1">
        <v>254125</v>
      </c>
      <c r="AF1413">
        <v>0</v>
      </c>
      <c r="AJ1413">
        <v>0</v>
      </c>
      <c r="AK1413">
        <v>0</v>
      </c>
      <c r="AL1413">
        <v>0</v>
      </c>
      <c r="AM1413">
        <v>0</v>
      </c>
      <c r="AN1413">
        <v>0</v>
      </c>
      <c r="AO1413">
        <v>0</v>
      </c>
      <c r="AP1413" s="2">
        <v>42831</v>
      </c>
      <c r="AQ1413" t="s">
        <v>72</v>
      </c>
      <c r="AR1413" t="s">
        <v>72</v>
      </c>
      <c r="AS1413">
        <v>592</v>
      </c>
      <c r="AT1413" s="4">
        <v>42793</v>
      </c>
      <c r="AU1413" t="s">
        <v>73</v>
      </c>
      <c r="AV1413">
        <v>592</v>
      </c>
      <c r="AW1413" s="4">
        <v>42793</v>
      </c>
      <c r="BD1413">
        <v>0</v>
      </c>
      <c r="BN1413" t="s">
        <v>74</v>
      </c>
    </row>
    <row r="1414" spans="1:66">
      <c r="A1414">
        <v>102629</v>
      </c>
      <c r="B1414" t="s">
        <v>341</v>
      </c>
      <c r="C1414" s="1">
        <v>43300101</v>
      </c>
      <c r="D1414" t="s">
        <v>67</v>
      </c>
      <c r="H1414" t="str">
        <f t="shared" si="183"/>
        <v>01128810650</v>
      </c>
      <c r="I1414" t="str">
        <f t="shared" si="183"/>
        <v>01128810650</v>
      </c>
      <c r="K1414" t="str">
        <f>""</f>
        <v/>
      </c>
      <c r="M1414" t="s">
        <v>68</v>
      </c>
      <c r="N1414" t="str">
        <f t="shared" si="184"/>
        <v>FOR</v>
      </c>
      <c r="O1414" t="s">
        <v>69</v>
      </c>
      <c r="P1414" t="s">
        <v>75</v>
      </c>
      <c r="Q1414">
        <v>2016</v>
      </c>
      <c r="R1414" s="4">
        <v>42639</v>
      </c>
      <c r="S1414" s="2">
        <v>42642</v>
      </c>
      <c r="T1414" s="2">
        <v>42640</v>
      </c>
      <c r="U1414" s="4">
        <v>42700</v>
      </c>
      <c r="V1414" t="s">
        <v>71</v>
      </c>
      <c r="W1414" t="str">
        <f>"               279/E"</f>
        <v xml:space="preserve">               279/E</v>
      </c>
      <c r="X1414">
        <v>341.6</v>
      </c>
      <c r="Y1414">
        <v>0</v>
      </c>
      <c r="Z1414" s="5">
        <v>280</v>
      </c>
      <c r="AA1414" s="3">
        <v>93</v>
      </c>
      <c r="AB1414" s="5">
        <v>26040</v>
      </c>
      <c r="AC1414">
        <v>280</v>
      </c>
      <c r="AD1414">
        <v>93</v>
      </c>
      <c r="AE1414" s="1">
        <v>26040</v>
      </c>
      <c r="AF1414">
        <v>0</v>
      </c>
      <c r="AJ1414">
        <v>0</v>
      </c>
      <c r="AK1414">
        <v>0</v>
      </c>
      <c r="AL1414">
        <v>0</v>
      </c>
      <c r="AM1414">
        <v>0</v>
      </c>
      <c r="AN1414">
        <v>0</v>
      </c>
      <c r="AO1414">
        <v>0</v>
      </c>
      <c r="AP1414" s="2">
        <v>42831</v>
      </c>
      <c r="AQ1414" t="s">
        <v>72</v>
      </c>
      <c r="AR1414" t="s">
        <v>72</v>
      </c>
      <c r="AS1414">
        <v>592</v>
      </c>
      <c r="AT1414" s="4">
        <v>42793</v>
      </c>
      <c r="AU1414" t="s">
        <v>73</v>
      </c>
      <c r="AV1414">
        <v>592</v>
      </c>
      <c r="AW1414" s="4">
        <v>42793</v>
      </c>
      <c r="BD1414">
        <v>0</v>
      </c>
      <c r="BN1414" t="s">
        <v>74</v>
      </c>
    </row>
    <row r="1415" spans="1:66">
      <c r="A1415">
        <v>102629</v>
      </c>
      <c r="B1415" t="s">
        <v>341</v>
      </c>
      <c r="C1415" s="1">
        <v>43300101</v>
      </c>
      <c r="D1415" t="s">
        <v>67</v>
      </c>
      <c r="H1415" t="str">
        <f t="shared" si="183"/>
        <v>01128810650</v>
      </c>
      <c r="I1415" t="str">
        <f t="shared" si="183"/>
        <v>01128810650</v>
      </c>
      <c r="K1415" t="str">
        <f>""</f>
        <v/>
      </c>
      <c r="M1415" t="s">
        <v>68</v>
      </c>
      <c r="N1415" t="str">
        <f t="shared" si="184"/>
        <v>FOR</v>
      </c>
      <c r="O1415" t="s">
        <v>69</v>
      </c>
      <c r="P1415" t="s">
        <v>75</v>
      </c>
      <c r="Q1415">
        <v>2016</v>
      </c>
      <c r="R1415" s="4">
        <v>42643</v>
      </c>
      <c r="S1415" s="2">
        <v>42647</v>
      </c>
      <c r="T1415" s="2">
        <v>42647</v>
      </c>
      <c r="U1415" s="4">
        <v>42707</v>
      </c>
      <c r="V1415" t="s">
        <v>71</v>
      </c>
      <c r="W1415" t="str">
        <f>"               283/E"</f>
        <v xml:space="preserve">               283/E</v>
      </c>
      <c r="X1415" s="1">
        <v>1171.2</v>
      </c>
      <c r="Y1415">
        <v>0</v>
      </c>
      <c r="Z1415" s="5">
        <v>960</v>
      </c>
      <c r="AA1415" s="3">
        <v>86</v>
      </c>
      <c r="AB1415" s="5">
        <v>82560</v>
      </c>
      <c r="AC1415">
        <v>960</v>
      </c>
      <c r="AD1415">
        <v>86</v>
      </c>
      <c r="AE1415" s="1">
        <v>82560</v>
      </c>
      <c r="AF1415">
        <v>0</v>
      </c>
      <c r="AJ1415">
        <v>0</v>
      </c>
      <c r="AK1415">
        <v>0</v>
      </c>
      <c r="AL1415">
        <v>0</v>
      </c>
      <c r="AM1415">
        <v>0</v>
      </c>
      <c r="AN1415">
        <v>0</v>
      </c>
      <c r="AO1415">
        <v>0</v>
      </c>
      <c r="AP1415" s="2">
        <v>42831</v>
      </c>
      <c r="AQ1415" t="s">
        <v>72</v>
      </c>
      <c r="AR1415" t="s">
        <v>72</v>
      </c>
      <c r="AS1415">
        <v>592</v>
      </c>
      <c r="AT1415" s="4">
        <v>42793</v>
      </c>
      <c r="AU1415" t="s">
        <v>73</v>
      </c>
      <c r="AV1415">
        <v>592</v>
      </c>
      <c r="AW1415" s="4">
        <v>42793</v>
      </c>
      <c r="BD1415">
        <v>0</v>
      </c>
      <c r="BN1415" t="s">
        <v>74</v>
      </c>
    </row>
    <row r="1416" spans="1:66">
      <c r="A1416">
        <v>102629</v>
      </c>
      <c r="B1416" t="s">
        <v>341</v>
      </c>
      <c r="C1416" s="1">
        <v>43300101</v>
      </c>
      <c r="D1416" t="s">
        <v>67</v>
      </c>
      <c r="H1416" t="str">
        <f t="shared" si="183"/>
        <v>01128810650</v>
      </c>
      <c r="I1416" t="str">
        <f t="shared" si="183"/>
        <v>01128810650</v>
      </c>
      <c r="K1416" t="str">
        <f>""</f>
        <v/>
      </c>
      <c r="M1416" t="s">
        <v>68</v>
      </c>
      <c r="N1416" t="str">
        <f t="shared" si="184"/>
        <v>FOR</v>
      </c>
      <c r="O1416" t="s">
        <v>69</v>
      </c>
      <c r="P1416" t="s">
        <v>75</v>
      </c>
      <c r="Q1416">
        <v>2016</v>
      </c>
      <c r="R1416" s="4">
        <v>42667</v>
      </c>
      <c r="S1416" s="2">
        <v>42669</v>
      </c>
      <c r="T1416" s="2">
        <v>42668</v>
      </c>
      <c r="U1416" s="4">
        <v>42728</v>
      </c>
      <c r="V1416" t="s">
        <v>71</v>
      </c>
      <c r="W1416" t="str">
        <f>"               302/E"</f>
        <v xml:space="preserve">               302/E</v>
      </c>
      <c r="X1416" s="1">
        <v>3836.9</v>
      </c>
      <c r="Y1416">
        <v>0</v>
      </c>
      <c r="Z1416" s="5">
        <v>3145</v>
      </c>
      <c r="AA1416" s="3">
        <v>65</v>
      </c>
      <c r="AB1416" s="5">
        <v>204425</v>
      </c>
      <c r="AC1416" s="1">
        <v>3145</v>
      </c>
      <c r="AD1416">
        <v>65</v>
      </c>
      <c r="AE1416" s="1">
        <v>204425</v>
      </c>
      <c r="AF1416">
        <v>0</v>
      </c>
      <c r="AJ1416">
        <v>0</v>
      </c>
      <c r="AK1416">
        <v>0</v>
      </c>
      <c r="AL1416">
        <v>0</v>
      </c>
      <c r="AM1416">
        <v>0</v>
      </c>
      <c r="AN1416">
        <v>0</v>
      </c>
      <c r="AO1416">
        <v>0</v>
      </c>
      <c r="AP1416" s="2">
        <v>42831</v>
      </c>
      <c r="AQ1416" t="s">
        <v>72</v>
      </c>
      <c r="AR1416" t="s">
        <v>72</v>
      </c>
      <c r="AS1416">
        <v>592</v>
      </c>
      <c r="AT1416" s="4">
        <v>42793</v>
      </c>
      <c r="AU1416" t="s">
        <v>73</v>
      </c>
      <c r="AV1416">
        <v>592</v>
      </c>
      <c r="AW1416" s="4">
        <v>42793</v>
      </c>
      <c r="BD1416">
        <v>0</v>
      </c>
      <c r="BN1416" t="s">
        <v>74</v>
      </c>
    </row>
    <row r="1417" spans="1:66">
      <c r="A1417">
        <v>102629</v>
      </c>
      <c r="B1417" t="s">
        <v>341</v>
      </c>
      <c r="C1417" s="1">
        <v>43300101</v>
      </c>
      <c r="D1417" t="s">
        <v>67</v>
      </c>
      <c r="H1417" t="str">
        <f t="shared" si="183"/>
        <v>01128810650</v>
      </c>
      <c r="I1417" t="str">
        <f t="shared" si="183"/>
        <v>01128810650</v>
      </c>
      <c r="K1417" t="str">
        <f>""</f>
        <v/>
      </c>
      <c r="M1417" t="s">
        <v>68</v>
      </c>
      <c r="N1417" t="str">
        <f t="shared" si="184"/>
        <v>FOR</v>
      </c>
      <c r="O1417" t="s">
        <v>69</v>
      </c>
      <c r="P1417" t="s">
        <v>75</v>
      </c>
      <c r="Q1417">
        <v>2016</v>
      </c>
      <c r="R1417" s="4">
        <v>42674</v>
      </c>
      <c r="S1417" s="2">
        <v>42676</v>
      </c>
      <c r="T1417" s="2">
        <v>42674</v>
      </c>
      <c r="U1417" s="4">
        <v>42734</v>
      </c>
      <c r="V1417" t="s">
        <v>71</v>
      </c>
      <c r="W1417" t="str">
        <f>"               315/E"</f>
        <v xml:space="preserve">               315/E</v>
      </c>
      <c r="X1417">
        <v>502.88</v>
      </c>
      <c r="Y1417">
        <v>0</v>
      </c>
      <c r="Z1417" s="5">
        <v>412.2</v>
      </c>
      <c r="AA1417" s="3">
        <v>59</v>
      </c>
      <c r="AB1417" s="5">
        <v>24319.8</v>
      </c>
      <c r="AC1417">
        <v>412.2</v>
      </c>
      <c r="AD1417">
        <v>59</v>
      </c>
      <c r="AE1417" s="1">
        <v>24319.8</v>
      </c>
      <c r="AF1417">
        <v>0</v>
      </c>
      <c r="AJ1417">
        <v>0</v>
      </c>
      <c r="AK1417">
        <v>0</v>
      </c>
      <c r="AL1417">
        <v>0</v>
      </c>
      <c r="AM1417">
        <v>0</v>
      </c>
      <c r="AN1417">
        <v>0</v>
      </c>
      <c r="AO1417">
        <v>0</v>
      </c>
      <c r="AP1417" s="2">
        <v>42831</v>
      </c>
      <c r="AQ1417" t="s">
        <v>72</v>
      </c>
      <c r="AR1417" t="s">
        <v>72</v>
      </c>
      <c r="AS1417">
        <v>592</v>
      </c>
      <c r="AT1417" s="4">
        <v>42793</v>
      </c>
      <c r="AU1417" t="s">
        <v>73</v>
      </c>
      <c r="AV1417">
        <v>592</v>
      </c>
      <c r="AW1417" s="4">
        <v>42793</v>
      </c>
      <c r="BD1417">
        <v>0</v>
      </c>
      <c r="BN1417" t="s">
        <v>74</v>
      </c>
    </row>
    <row r="1418" spans="1:66">
      <c r="A1418">
        <v>102679</v>
      </c>
      <c r="B1418" t="s">
        <v>342</v>
      </c>
      <c r="C1418" s="1">
        <v>43300101</v>
      </c>
      <c r="D1418" t="s">
        <v>67</v>
      </c>
      <c r="H1418" t="str">
        <f t="shared" ref="H1418:I1420" si="185">"04303410726"</f>
        <v>04303410726</v>
      </c>
      <c r="I1418" t="str">
        <f t="shared" si="185"/>
        <v>04303410726</v>
      </c>
      <c r="K1418" t="str">
        <f>""</f>
        <v/>
      </c>
      <c r="M1418" t="s">
        <v>68</v>
      </c>
      <c r="N1418" t="str">
        <f t="shared" si="184"/>
        <v>FOR</v>
      </c>
      <c r="O1418" t="s">
        <v>69</v>
      </c>
      <c r="P1418" t="s">
        <v>75</v>
      </c>
      <c r="Q1418">
        <v>2016</v>
      </c>
      <c r="R1418" s="4">
        <v>42453</v>
      </c>
      <c r="S1418" s="2">
        <v>42467</v>
      </c>
      <c r="T1418" s="2">
        <v>42467</v>
      </c>
      <c r="U1418" s="4">
        <v>42527</v>
      </c>
      <c r="V1418" t="s">
        <v>71</v>
      </c>
      <c r="W1418" t="str">
        <f>"       2016 FE-11485"</f>
        <v xml:space="preserve">       2016 FE-11485</v>
      </c>
      <c r="X1418" s="1">
        <v>2415.6</v>
      </c>
      <c r="Y1418">
        <v>0</v>
      </c>
      <c r="Z1418" s="5">
        <v>1980</v>
      </c>
      <c r="AA1418" s="3">
        <v>239</v>
      </c>
      <c r="AB1418" s="5">
        <v>473220</v>
      </c>
      <c r="AC1418" s="1">
        <v>1980</v>
      </c>
      <c r="AD1418">
        <v>239</v>
      </c>
      <c r="AE1418" s="1">
        <v>473220</v>
      </c>
      <c r="AF1418">
        <v>0</v>
      </c>
      <c r="AJ1418">
        <v>0</v>
      </c>
      <c r="AK1418">
        <v>0</v>
      </c>
      <c r="AL1418">
        <v>0</v>
      </c>
      <c r="AM1418">
        <v>0</v>
      </c>
      <c r="AN1418">
        <v>0</v>
      </c>
      <c r="AO1418">
        <v>0</v>
      </c>
      <c r="AP1418" s="2">
        <v>42831</v>
      </c>
      <c r="AQ1418" t="s">
        <v>72</v>
      </c>
      <c r="AR1418" t="s">
        <v>72</v>
      </c>
      <c r="AS1418">
        <v>178</v>
      </c>
      <c r="AT1418" s="4">
        <v>42766</v>
      </c>
      <c r="AU1418" t="s">
        <v>73</v>
      </c>
      <c r="AV1418">
        <v>178</v>
      </c>
      <c r="AW1418" s="4">
        <v>42766</v>
      </c>
      <c r="BD1418">
        <v>0</v>
      </c>
      <c r="BN1418" t="s">
        <v>74</v>
      </c>
    </row>
    <row r="1419" spans="1:66">
      <c r="A1419">
        <v>102679</v>
      </c>
      <c r="B1419" t="s">
        <v>342</v>
      </c>
      <c r="C1419" s="1">
        <v>43300101</v>
      </c>
      <c r="D1419" t="s">
        <v>67</v>
      </c>
      <c r="H1419" t="str">
        <f t="shared" si="185"/>
        <v>04303410726</v>
      </c>
      <c r="I1419" t="str">
        <f t="shared" si="185"/>
        <v>04303410726</v>
      </c>
      <c r="K1419" t="str">
        <f>""</f>
        <v/>
      </c>
      <c r="M1419" t="s">
        <v>68</v>
      </c>
      <c r="N1419" t="str">
        <f t="shared" si="184"/>
        <v>FOR</v>
      </c>
      <c r="O1419" t="s">
        <v>69</v>
      </c>
      <c r="P1419" t="s">
        <v>75</v>
      </c>
      <c r="Q1419">
        <v>2016</v>
      </c>
      <c r="R1419" s="4">
        <v>42453</v>
      </c>
      <c r="S1419" s="2">
        <v>42467</v>
      </c>
      <c r="T1419" s="2">
        <v>42467</v>
      </c>
      <c r="U1419" s="4">
        <v>42527</v>
      </c>
      <c r="V1419" t="s">
        <v>71</v>
      </c>
      <c r="W1419" t="str">
        <f>"       2016 FE-11500"</f>
        <v xml:space="preserve">       2016 FE-11500</v>
      </c>
      <c r="X1419" s="1">
        <v>3478.46</v>
      </c>
      <c r="Y1419">
        <v>0</v>
      </c>
      <c r="Z1419" s="5">
        <v>2851.2</v>
      </c>
      <c r="AA1419" s="3">
        <v>239</v>
      </c>
      <c r="AB1419" s="5">
        <v>681436.8</v>
      </c>
      <c r="AC1419" s="1">
        <v>2851.2</v>
      </c>
      <c r="AD1419">
        <v>239</v>
      </c>
      <c r="AE1419" s="1">
        <v>681436.8</v>
      </c>
      <c r="AF1419">
        <v>0</v>
      </c>
      <c r="AJ1419">
        <v>0</v>
      </c>
      <c r="AK1419">
        <v>0</v>
      </c>
      <c r="AL1419">
        <v>0</v>
      </c>
      <c r="AM1419">
        <v>0</v>
      </c>
      <c r="AN1419">
        <v>0</v>
      </c>
      <c r="AO1419">
        <v>0</v>
      </c>
      <c r="AP1419" s="2">
        <v>42831</v>
      </c>
      <c r="AQ1419" t="s">
        <v>72</v>
      </c>
      <c r="AR1419" t="s">
        <v>72</v>
      </c>
      <c r="AS1419">
        <v>178</v>
      </c>
      <c r="AT1419" s="4">
        <v>42766</v>
      </c>
      <c r="AU1419" t="s">
        <v>73</v>
      </c>
      <c r="AV1419">
        <v>178</v>
      </c>
      <c r="AW1419" s="4">
        <v>42766</v>
      </c>
      <c r="BD1419">
        <v>0</v>
      </c>
      <c r="BN1419" t="s">
        <v>74</v>
      </c>
    </row>
    <row r="1420" spans="1:66">
      <c r="A1420">
        <v>102679</v>
      </c>
      <c r="B1420" t="s">
        <v>342</v>
      </c>
      <c r="C1420" s="1">
        <v>43300101</v>
      </c>
      <c r="D1420" t="s">
        <v>67</v>
      </c>
      <c r="H1420" t="str">
        <f t="shared" si="185"/>
        <v>04303410726</v>
      </c>
      <c r="I1420" t="str">
        <f t="shared" si="185"/>
        <v>04303410726</v>
      </c>
      <c r="K1420" t="str">
        <f>""</f>
        <v/>
      </c>
      <c r="M1420" t="s">
        <v>68</v>
      </c>
      <c r="N1420" t="str">
        <f t="shared" si="184"/>
        <v>FOR</v>
      </c>
      <c r="O1420" t="s">
        <v>69</v>
      </c>
      <c r="P1420" t="s">
        <v>75</v>
      </c>
      <c r="Q1420">
        <v>2016</v>
      </c>
      <c r="R1420" s="4">
        <v>42507</v>
      </c>
      <c r="S1420" s="2">
        <v>42521</v>
      </c>
      <c r="T1420" s="2">
        <v>42521</v>
      </c>
      <c r="U1420" s="4">
        <v>42581</v>
      </c>
      <c r="V1420" t="s">
        <v>71</v>
      </c>
      <c r="W1420" t="str">
        <f>"       2016 FE-12392"</f>
        <v xml:space="preserve">       2016 FE-12392</v>
      </c>
      <c r="X1420" s="1">
        <v>2415.6</v>
      </c>
      <c r="Y1420">
        <v>0</v>
      </c>
      <c r="Z1420" s="5">
        <v>1980</v>
      </c>
      <c r="AA1420" s="3">
        <v>185</v>
      </c>
      <c r="AB1420" s="5">
        <v>366300</v>
      </c>
      <c r="AC1420" s="1">
        <v>1980</v>
      </c>
      <c r="AD1420">
        <v>185</v>
      </c>
      <c r="AE1420" s="1">
        <v>366300</v>
      </c>
      <c r="AF1420">
        <v>0</v>
      </c>
      <c r="AJ1420">
        <v>0</v>
      </c>
      <c r="AK1420">
        <v>0</v>
      </c>
      <c r="AL1420">
        <v>0</v>
      </c>
      <c r="AM1420">
        <v>0</v>
      </c>
      <c r="AN1420">
        <v>0</v>
      </c>
      <c r="AO1420">
        <v>0</v>
      </c>
      <c r="AP1420" s="2">
        <v>42831</v>
      </c>
      <c r="AQ1420" t="s">
        <v>72</v>
      </c>
      <c r="AR1420" t="s">
        <v>72</v>
      </c>
      <c r="AS1420">
        <v>178</v>
      </c>
      <c r="AT1420" s="4">
        <v>42766</v>
      </c>
      <c r="AU1420" t="s">
        <v>73</v>
      </c>
      <c r="AV1420">
        <v>178</v>
      </c>
      <c r="AW1420" s="4">
        <v>42766</v>
      </c>
      <c r="BD1420">
        <v>0</v>
      </c>
      <c r="BN1420" t="s">
        <v>74</v>
      </c>
    </row>
    <row r="1421" spans="1:66">
      <c r="A1421">
        <v>102685</v>
      </c>
      <c r="B1421" t="s">
        <v>343</v>
      </c>
      <c r="C1421" s="1">
        <v>43300101</v>
      </c>
      <c r="D1421" t="s">
        <v>67</v>
      </c>
      <c r="H1421" t="str">
        <f t="shared" ref="H1421:H1436" si="186">"00484960588"</f>
        <v>00484960588</v>
      </c>
      <c r="I1421" t="str">
        <f t="shared" ref="I1421:I1436" si="187">"00905811006"</f>
        <v>00905811006</v>
      </c>
      <c r="K1421" t="str">
        <f>""</f>
        <v/>
      </c>
      <c r="M1421" t="s">
        <v>68</v>
      </c>
      <c r="N1421" t="str">
        <f t="shared" si="184"/>
        <v>FOR</v>
      </c>
      <c r="O1421" t="s">
        <v>69</v>
      </c>
      <c r="P1421" t="s">
        <v>344</v>
      </c>
      <c r="Q1421">
        <v>2016</v>
      </c>
      <c r="R1421" s="4">
        <v>42629</v>
      </c>
      <c r="S1421" s="2">
        <v>42635</v>
      </c>
      <c r="T1421" s="2">
        <v>42634</v>
      </c>
      <c r="U1421" s="4">
        <v>42694</v>
      </c>
      <c r="V1421" t="s">
        <v>71</v>
      </c>
      <c r="W1421" t="str">
        <f>"          P160065292"</f>
        <v xml:space="preserve">          P160065292</v>
      </c>
      <c r="X1421">
        <v>207.02</v>
      </c>
      <c r="Y1421">
        <v>-37.33</v>
      </c>
      <c r="Z1421" s="5">
        <v>169.69</v>
      </c>
      <c r="AA1421" s="3">
        <v>72</v>
      </c>
      <c r="AB1421" s="5">
        <v>12217.68</v>
      </c>
      <c r="AC1421">
        <v>169.69</v>
      </c>
      <c r="AD1421">
        <v>72</v>
      </c>
      <c r="AE1421" s="1">
        <v>12217.68</v>
      </c>
      <c r="AF1421">
        <v>0</v>
      </c>
      <c r="AJ1421">
        <v>0</v>
      </c>
      <c r="AK1421">
        <v>0</v>
      </c>
      <c r="AL1421">
        <v>0</v>
      </c>
      <c r="AM1421">
        <v>0</v>
      </c>
      <c r="AN1421">
        <v>0</v>
      </c>
      <c r="AO1421">
        <v>0</v>
      </c>
      <c r="AP1421" s="2">
        <v>42831</v>
      </c>
      <c r="AQ1421" t="s">
        <v>72</v>
      </c>
      <c r="AR1421" t="s">
        <v>72</v>
      </c>
      <c r="AS1421">
        <v>155</v>
      </c>
      <c r="AT1421" s="4">
        <v>42766</v>
      </c>
      <c r="AU1421" t="s">
        <v>73</v>
      </c>
      <c r="AV1421">
        <v>155</v>
      </c>
      <c r="AW1421" s="4">
        <v>42766</v>
      </c>
      <c r="BD1421">
        <v>0</v>
      </c>
      <c r="BN1421" t="s">
        <v>74</v>
      </c>
    </row>
    <row r="1422" spans="1:66">
      <c r="A1422">
        <v>102685</v>
      </c>
      <c r="B1422" t="s">
        <v>343</v>
      </c>
      <c r="C1422" s="1">
        <v>43300101</v>
      </c>
      <c r="D1422" t="s">
        <v>67</v>
      </c>
      <c r="H1422" t="str">
        <f t="shared" si="186"/>
        <v>00484960588</v>
      </c>
      <c r="I1422" t="str">
        <f t="shared" si="187"/>
        <v>00905811006</v>
      </c>
      <c r="K1422" t="str">
        <f>""</f>
        <v/>
      </c>
      <c r="M1422" t="s">
        <v>68</v>
      </c>
      <c r="N1422" t="str">
        <f t="shared" si="184"/>
        <v>FOR</v>
      </c>
      <c r="O1422" t="s">
        <v>69</v>
      </c>
      <c r="P1422" t="s">
        <v>344</v>
      </c>
      <c r="Q1422">
        <v>2016</v>
      </c>
      <c r="R1422" s="4">
        <v>42661</v>
      </c>
      <c r="S1422" s="2">
        <v>42671</v>
      </c>
      <c r="T1422" s="2">
        <v>42669</v>
      </c>
      <c r="U1422" s="4">
        <v>42729</v>
      </c>
      <c r="V1422" t="s">
        <v>71</v>
      </c>
      <c r="W1422" t="str">
        <f>"          P160071357"</f>
        <v xml:space="preserve">          P160071357</v>
      </c>
      <c r="X1422">
        <v>232.63</v>
      </c>
      <c r="Y1422">
        <v>-41.95</v>
      </c>
      <c r="Z1422" s="5">
        <v>190.68</v>
      </c>
      <c r="AA1422" s="3">
        <v>37</v>
      </c>
      <c r="AB1422" s="5">
        <v>7055.16</v>
      </c>
      <c r="AC1422">
        <v>190.68</v>
      </c>
      <c r="AD1422">
        <v>37</v>
      </c>
      <c r="AE1422" s="1">
        <v>7055.16</v>
      </c>
      <c r="AF1422">
        <v>0</v>
      </c>
      <c r="AJ1422">
        <v>0</v>
      </c>
      <c r="AK1422">
        <v>0</v>
      </c>
      <c r="AL1422">
        <v>0</v>
      </c>
      <c r="AM1422">
        <v>0</v>
      </c>
      <c r="AN1422">
        <v>0</v>
      </c>
      <c r="AO1422">
        <v>0</v>
      </c>
      <c r="AP1422" s="2">
        <v>42831</v>
      </c>
      <c r="AQ1422" t="s">
        <v>72</v>
      </c>
      <c r="AR1422" t="s">
        <v>72</v>
      </c>
      <c r="AS1422">
        <v>155</v>
      </c>
      <c r="AT1422" s="4">
        <v>42766</v>
      </c>
      <c r="AU1422" t="s">
        <v>73</v>
      </c>
      <c r="AV1422">
        <v>155</v>
      </c>
      <c r="AW1422" s="4">
        <v>42766</v>
      </c>
      <c r="BD1422">
        <v>0</v>
      </c>
      <c r="BN1422" t="s">
        <v>74</v>
      </c>
    </row>
    <row r="1423" spans="1:66">
      <c r="A1423">
        <v>102685</v>
      </c>
      <c r="B1423" t="s">
        <v>343</v>
      </c>
      <c r="C1423" s="1">
        <v>43300101</v>
      </c>
      <c r="D1423" t="s">
        <v>67</v>
      </c>
      <c r="H1423" t="str">
        <f t="shared" si="186"/>
        <v>00484960588</v>
      </c>
      <c r="I1423" t="str">
        <f t="shared" si="187"/>
        <v>00905811006</v>
      </c>
      <c r="K1423" t="str">
        <f>""</f>
        <v/>
      </c>
      <c r="M1423" t="s">
        <v>68</v>
      </c>
      <c r="N1423" t="str">
        <f t="shared" si="184"/>
        <v>FOR</v>
      </c>
      <c r="O1423" t="s">
        <v>69</v>
      </c>
      <c r="P1423" t="s">
        <v>344</v>
      </c>
      <c r="Q1423">
        <v>2016</v>
      </c>
      <c r="R1423" s="4">
        <v>42661</v>
      </c>
      <c r="S1423" s="2">
        <v>42671</v>
      </c>
      <c r="T1423" s="2">
        <v>42669</v>
      </c>
      <c r="U1423" s="4">
        <v>42729</v>
      </c>
      <c r="V1423" t="s">
        <v>71</v>
      </c>
      <c r="W1423" t="str">
        <f>"          P160071362"</f>
        <v xml:space="preserve">          P160071362</v>
      </c>
      <c r="X1423" s="1">
        <v>244349.25</v>
      </c>
      <c r="Y1423" s="1">
        <v>-43419.47</v>
      </c>
      <c r="Z1423" s="5">
        <v>200929.78</v>
      </c>
      <c r="AA1423" s="3">
        <v>37</v>
      </c>
      <c r="AB1423" s="5">
        <v>7434401.8600000003</v>
      </c>
      <c r="AC1423" s="1">
        <v>200929.78</v>
      </c>
      <c r="AD1423">
        <v>37</v>
      </c>
      <c r="AE1423" s="1">
        <v>7434401.8600000003</v>
      </c>
      <c r="AF1423">
        <v>0</v>
      </c>
      <c r="AJ1423">
        <v>0</v>
      </c>
      <c r="AK1423">
        <v>0</v>
      </c>
      <c r="AL1423">
        <v>0</v>
      </c>
      <c r="AM1423">
        <v>0</v>
      </c>
      <c r="AN1423">
        <v>0</v>
      </c>
      <c r="AO1423">
        <v>0</v>
      </c>
      <c r="AP1423" s="2">
        <v>42831</v>
      </c>
      <c r="AQ1423" t="s">
        <v>72</v>
      </c>
      <c r="AR1423" t="s">
        <v>72</v>
      </c>
      <c r="AS1423">
        <v>155</v>
      </c>
      <c r="AT1423" s="4">
        <v>42766</v>
      </c>
      <c r="AU1423" t="s">
        <v>73</v>
      </c>
      <c r="AV1423">
        <v>155</v>
      </c>
      <c r="AW1423" s="4">
        <v>42766</v>
      </c>
      <c r="BD1423">
        <v>0</v>
      </c>
      <c r="BN1423" t="s">
        <v>74</v>
      </c>
    </row>
    <row r="1424" spans="1:66">
      <c r="A1424">
        <v>102685</v>
      </c>
      <c r="B1424" t="s">
        <v>343</v>
      </c>
      <c r="C1424" s="1">
        <v>43300101</v>
      </c>
      <c r="D1424" t="s">
        <v>67</v>
      </c>
      <c r="H1424" t="str">
        <f t="shared" si="186"/>
        <v>00484960588</v>
      </c>
      <c r="I1424" t="str">
        <f t="shared" si="187"/>
        <v>00905811006</v>
      </c>
      <c r="K1424" t="str">
        <f>""</f>
        <v/>
      </c>
      <c r="M1424" t="s">
        <v>68</v>
      </c>
      <c r="N1424" t="str">
        <f t="shared" si="184"/>
        <v>FOR</v>
      </c>
      <c r="O1424" t="s">
        <v>69</v>
      </c>
      <c r="P1424" t="s">
        <v>344</v>
      </c>
      <c r="Q1424">
        <v>2016</v>
      </c>
      <c r="R1424" s="4">
        <v>42691</v>
      </c>
      <c r="S1424" s="2">
        <v>42702</v>
      </c>
      <c r="T1424" s="2">
        <v>42698</v>
      </c>
      <c r="U1424" s="4">
        <v>42758</v>
      </c>
      <c r="V1424" t="s">
        <v>71</v>
      </c>
      <c r="W1424" t="str">
        <f>"          P160076302"</f>
        <v xml:space="preserve">          P160076302</v>
      </c>
      <c r="X1424" s="1">
        <v>4013.64</v>
      </c>
      <c r="Y1424">
        <v>-723.77</v>
      </c>
      <c r="Z1424" s="5">
        <v>3289.87</v>
      </c>
      <c r="AA1424" s="3">
        <v>24</v>
      </c>
      <c r="AB1424" s="5">
        <v>78956.88</v>
      </c>
      <c r="AC1424" s="1">
        <v>3289.87</v>
      </c>
      <c r="AD1424">
        <v>24</v>
      </c>
      <c r="AE1424" s="1">
        <v>78956.88</v>
      </c>
      <c r="AF1424">
        <v>0</v>
      </c>
      <c r="AJ1424">
        <v>0</v>
      </c>
      <c r="AK1424">
        <v>0</v>
      </c>
      <c r="AL1424">
        <v>0</v>
      </c>
      <c r="AM1424">
        <v>0</v>
      </c>
      <c r="AN1424">
        <v>0</v>
      </c>
      <c r="AO1424">
        <v>0</v>
      </c>
      <c r="AP1424" s="2">
        <v>42831</v>
      </c>
      <c r="AQ1424" t="s">
        <v>72</v>
      </c>
      <c r="AR1424" t="s">
        <v>72</v>
      </c>
      <c r="AS1424">
        <v>485</v>
      </c>
      <c r="AT1424" s="4">
        <v>42782</v>
      </c>
      <c r="AU1424" t="s">
        <v>73</v>
      </c>
      <c r="AV1424">
        <v>485</v>
      </c>
      <c r="AW1424" s="4">
        <v>42782</v>
      </c>
      <c r="BD1424">
        <v>0</v>
      </c>
      <c r="BN1424" t="s">
        <v>74</v>
      </c>
    </row>
    <row r="1425" spans="1:66">
      <c r="A1425">
        <v>102685</v>
      </c>
      <c r="B1425" t="s">
        <v>343</v>
      </c>
      <c r="C1425" s="1">
        <v>43300101</v>
      </c>
      <c r="D1425" t="s">
        <v>67</v>
      </c>
      <c r="H1425" t="str">
        <f t="shared" si="186"/>
        <v>00484960588</v>
      </c>
      <c r="I1425" t="str">
        <f t="shared" si="187"/>
        <v>00905811006</v>
      </c>
      <c r="K1425" t="str">
        <f>""</f>
        <v/>
      </c>
      <c r="M1425" t="s">
        <v>68</v>
      </c>
      <c r="N1425" t="str">
        <f t="shared" si="184"/>
        <v>FOR</v>
      </c>
      <c r="O1425" t="s">
        <v>69</v>
      </c>
      <c r="P1425" t="s">
        <v>344</v>
      </c>
      <c r="Q1425">
        <v>2016</v>
      </c>
      <c r="R1425" s="4">
        <v>42691</v>
      </c>
      <c r="S1425" s="2">
        <v>42702</v>
      </c>
      <c r="T1425" s="2">
        <v>42698</v>
      </c>
      <c r="U1425" s="4">
        <v>42758</v>
      </c>
      <c r="V1425" t="s">
        <v>71</v>
      </c>
      <c r="W1425" t="str">
        <f>"          P160076305"</f>
        <v xml:space="preserve">          P160076305</v>
      </c>
      <c r="X1425" s="1">
        <v>2699.21</v>
      </c>
      <c r="Y1425">
        <v>-486.74</v>
      </c>
      <c r="Z1425" s="5">
        <v>2212.4699999999998</v>
      </c>
      <c r="AA1425" s="3">
        <v>24</v>
      </c>
      <c r="AB1425" s="5">
        <v>53099.28</v>
      </c>
      <c r="AC1425" s="1">
        <v>2212.4699999999998</v>
      </c>
      <c r="AD1425">
        <v>24</v>
      </c>
      <c r="AE1425" s="1">
        <v>53099.28</v>
      </c>
      <c r="AF1425">
        <v>0</v>
      </c>
      <c r="AJ1425">
        <v>0</v>
      </c>
      <c r="AK1425">
        <v>0</v>
      </c>
      <c r="AL1425">
        <v>0</v>
      </c>
      <c r="AM1425">
        <v>0</v>
      </c>
      <c r="AN1425">
        <v>0</v>
      </c>
      <c r="AO1425">
        <v>0</v>
      </c>
      <c r="AP1425" s="2">
        <v>42831</v>
      </c>
      <c r="AQ1425" t="s">
        <v>72</v>
      </c>
      <c r="AR1425" t="s">
        <v>72</v>
      </c>
      <c r="AS1425">
        <v>485</v>
      </c>
      <c r="AT1425" s="4">
        <v>42782</v>
      </c>
      <c r="AU1425" t="s">
        <v>73</v>
      </c>
      <c r="AV1425">
        <v>485</v>
      </c>
      <c r="AW1425" s="4">
        <v>42782</v>
      </c>
      <c r="BD1425">
        <v>0</v>
      </c>
      <c r="BN1425" t="s">
        <v>74</v>
      </c>
    </row>
    <row r="1426" spans="1:66">
      <c r="A1426">
        <v>102685</v>
      </c>
      <c r="B1426" t="s">
        <v>343</v>
      </c>
      <c r="C1426" s="1">
        <v>43300101</v>
      </c>
      <c r="D1426" t="s">
        <v>67</v>
      </c>
      <c r="H1426" t="str">
        <f t="shared" si="186"/>
        <v>00484960588</v>
      </c>
      <c r="I1426" t="str">
        <f t="shared" si="187"/>
        <v>00905811006</v>
      </c>
      <c r="K1426" t="str">
        <f>""</f>
        <v/>
      </c>
      <c r="M1426" t="s">
        <v>68</v>
      </c>
      <c r="N1426" t="str">
        <f t="shared" si="184"/>
        <v>FOR</v>
      </c>
      <c r="O1426" t="s">
        <v>69</v>
      </c>
      <c r="P1426" t="s">
        <v>344</v>
      </c>
      <c r="Q1426">
        <v>2016</v>
      </c>
      <c r="R1426" s="4">
        <v>42723</v>
      </c>
      <c r="S1426" s="2">
        <v>42733</v>
      </c>
      <c r="T1426" s="2">
        <v>42727</v>
      </c>
      <c r="U1426" s="4">
        <v>42787</v>
      </c>
      <c r="V1426" t="s">
        <v>71</v>
      </c>
      <c r="W1426" t="str">
        <f>"          P160078945"</f>
        <v xml:space="preserve">          P160078945</v>
      </c>
      <c r="X1426">
        <v>849.85</v>
      </c>
      <c r="Y1426">
        <v>-153.25</v>
      </c>
      <c r="Z1426" s="5">
        <v>696.6</v>
      </c>
      <c r="AA1426" s="3">
        <v>-5</v>
      </c>
      <c r="AB1426" s="5">
        <v>-3483</v>
      </c>
      <c r="AC1426">
        <v>696.6</v>
      </c>
      <c r="AD1426">
        <v>-5</v>
      </c>
      <c r="AE1426" s="1">
        <v>-3483</v>
      </c>
      <c r="AF1426">
        <v>0</v>
      </c>
      <c r="AJ1426">
        <v>0</v>
      </c>
      <c r="AK1426">
        <v>0</v>
      </c>
      <c r="AL1426">
        <v>0</v>
      </c>
      <c r="AM1426">
        <v>0</v>
      </c>
      <c r="AN1426">
        <v>0</v>
      </c>
      <c r="AO1426">
        <v>0</v>
      </c>
      <c r="AP1426" s="2">
        <v>42831</v>
      </c>
      <c r="AQ1426" t="s">
        <v>72</v>
      </c>
      <c r="AR1426" t="s">
        <v>72</v>
      </c>
      <c r="AS1426">
        <v>485</v>
      </c>
      <c r="AT1426" s="4">
        <v>42782</v>
      </c>
      <c r="AV1426">
        <v>485</v>
      </c>
      <c r="AW1426" s="4">
        <v>42782</v>
      </c>
      <c r="BD1426">
        <v>0</v>
      </c>
      <c r="BN1426" t="s">
        <v>74</v>
      </c>
    </row>
    <row r="1427" spans="1:66">
      <c r="A1427">
        <v>102685</v>
      </c>
      <c r="B1427" t="s">
        <v>343</v>
      </c>
      <c r="C1427" s="1">
        <v>43300101</v>
      </c>
      <c r="D1427" t="s">
        <v>67</v>
      </c>
      <c r="H1427" t="str">
        <f t="shared" si="186"/>
        <v>00484960588</v>
      </c>
      <c r="I1427" t="str">
        <f t="shared" si="187"/>
        <v>00905811006</v>
      </c>
      <c r="K1427" t="str">
        <f>""</f>
        <v/>
      </c>
      <c r="M1427" t="s">
        <v>68</v>
      </c>
      <c r="N1427" t="str">
        <f t="shared" si="184"/>
        <v>FOR</v>
      </c>
      <c r="O1427" t="s">
        <v>69</v>
      </c>
      <c r="P1427" t="s">
        <v>344</v>
      </c>
      <c r="Q1427">
        <v>2016</v>
      </c>
      <c r="R1427" s="4">
        <v>42723</v>
      </c>
      <c r="S1427" s="2">
        <v>42733</v>
      </c>
      <c r="T1427" s="2">
        <v>42727</v>
      </c>
      <c r="U1427" s="4">
        <v>42787</v>
      </c>
      <c r="V1427" t="s">
        <v>71</v>
      </c>
      <c r="W1427" t="str">
        <f>"          P160078949"</f>
        <v xml:space="preserve">          P160078949</v>
      </c>
      <c r="X1427" s="1">
        <v>11454.09</v>
      </c>
      <c r="Y1427" s="1">
        <v>-2065.4899999999998</v>
      </c>
      <c r="Z1427" s="5">
        <v>9388.6</v>
      </c>
      <c r="AA1427" s="3">
        <v>-5</v>
      </c>
      <c r="AB1427" s="5">
        <v>-46943</v>
      </c>
      <c r="AC1427" s="1">
        <v>9388.6</v>
      </c>
      <c r="AD1427">
        <v>-5</v>
      </c>
      <c r="AE1427" s="1">
        <v>-46943</v>
      </c>
      <c r="AF1427">
        <v>0</v>
      </c>
      <c r="AJ1427">
        <v>0</v>
      </c>
      <c r="AK1427">
        <v>0</v>
      </c>
      <c r="AL1427">
        <v>0</v>
      </c>
      <c r="AM1427">
        <v>0</v>
      </c>
      <c r="AN1427">
        <v>0</v>
      </c>
      <c r="AO1427">
        <v>0</v>
      </c>
      <c r="AP1427" s="2">
        <v>42831</v>
      </c>
      <c r="AQ1427" t="s">
        <v>72</v>
      </c>
      <c r="AR1427" t="s">
        <v>72</v>
      </c>
      <c r="AS1427">
        <v>485</v>
      </c>
      <c r="AT1427" s="4">
        <v>42782</v>
      </c>
      <c r="AV1427">
        <v>485</v>
      </c>
      <c r="AW1427" s="4">
        <v>42782</v>
      </c>
      <c r="BD1427">
        <v>0</v>
      </c>
      <c r="BN1427" t="s">
        <v>74</v>
      </c>
    </row>
    <row r="1428" spans="1:66">
      <c r="A1428">
        <v>102685</v>
      </c>
      <c r="B1428" t="s">
        <v>343</v>
      </c>
      <c r="C1428" s="1">
        <v>43300101</v>
      </c>
      <c r="D1428" t="s">
        <v>67</v>
      </c>
      <c r="H1428" t="str">
        <f t="shared" si="186"/>
        <v>00484960588</v>
      </c>
      <c r="I1428" t="str">
        <f t="shared" si="187"/>
        <v>00905811006</v>
      </c>
      <c r="K1428" t="str">
        <f>""</f>
        <v/>
      </c>
      <c r="M1428" t="s">
        <v>68</v>
      </c>
      <c r="N1428" t="str">
        <f t="shared" si="184"/>
        <v>FOR</v>
      </c>
      <c r="O1428" t="s">
        <v>69</v>
      </c>
      <c r="P1428" t="s">
        <v>344</v>
      </c>
      <c r="Q1428">
        <v>2016</v>
      </c>
      <c r="R1428" s="4">
        <v>42723</v>
      </c>
      <c r="S1428" s="2">
        <v>42733</v>
      </c>
      <c r="T1428" s="2">
        <v>42727</v>
      </c>
      <c r="U1428" s="4">
        <v>42787</v>
      </c>
      <c r="V1428" t="s">
        <v>71</v>
      </c>
      <c r="W1428" t="str">
        <f>"          P160078952"</f>
        <v xml:space="preserve">          P160078952</v>
      </c>
      <c r="X1428" s="1">
        <v>9337.01</v>
      </c>
      <c r="Y1428" s="1">
        <v>-1683.72</v>
      </c>
      <c r="Z1428" s="5">
        <v>7653.29</v>
      </c>
      <c r="AA1428" s="3">
        <v>-5</v>
      </c>
      <c r="AB1428" s="5">
        <v>-38266.449999999997</v>
      </c>
      <c r="AC1428" s="1">
        <v>7653.29</v>
      </c>
      <c r="AD1428">
        <v>-5</v>
      </c>
      <c r="AE1428" s="1">
        <v>-38266.449999999997</v>
      </c>
      <c r="AF1428">
        <v>0</v>
      </c>
      <c r="AJ1428">
        <v>0</v>
      </c>
      <c r="AK1428">
        <v>0</v>
      </c>
      <c r="AL1428">
        <v>0</v>
      </c>
      <c r="AM1428">
        <v>0</v>
      </c>
      <c r="AN1428">
        <v>0</v>
      </c>
      <c r="AO1428">
        <v>0</v>
      </c>
      <c r="AP1428" s="2">
        <v>42831</v>
      </c>
      <c r="AQ1428" t="s">
        <v>72</v>
      </c>
      <c r="AR1428" t="s">
        <v>72</v>
      </c>
      <c r="AS1428">
        <v>485</v>
      </c>
      <c r="AT1428" s="4">
        <v>42782</v>
      </c>
      <c r="AV1428">
        <v>485</v>
      </c>
      <c r="AW1428" s="4">
        <v>42782</v>
      </c>
      <c r="BD1428">
        <v>0</v>
      </c>
      <c r="BN1428" t="s">
        <v>74</v>
      </c>
    </row>
    <row r="1429" spans="1:66">
      <c r="A1429">
        <v>102685</v>
      </c>
      <c r="B1429" t="s">
        <v>343</v>
      </c>
      <c r="C1429" s="1">
        <v>43300101</v>
      </c>
      <c r="D1429" t="s">
        <v>67</v>
      </c>
      <c r="H1429" t="str">
        <f t="shared" si="186"/>
        <v>00484960588</v>
      </c>
      <c r="I1429" t="str">
        <f t="shared" si="187"/>
        <v>00905811006</v>
      </c>
      <c r="K1429" t="str">
        <f>""</f>
        <v/>
      </c>
      <c r="M1429" t="s">
        <v>68</v>
      </c>
      <c r="N1429" t="str">
        <f t="shared" si="184"/>
        <v>FOR</v>
      </c>
      <c r="O1429" t="s">
        <v>69</v>
      </c>
      <c r="P1429" t="s">
        <v>344</v>
      </c>
      <c r="Q1429">
        <v>2017</v>
      </c>
      <c r="R1429" s="4">
        <v>42754</v>
      </c>
      <c r="S1429" s="2">
        <v>42765</v>
      </c>
      <c r="T1429" s="2">
        <v>42762</v>
      </c>
      <c r="U1429" s="4">
        <v>42822</v>
      </c>
      <c r="V1429" t="s">
        <v>71</v>
      </c>
      <c r="W1429" t="str">
        <f>"          P170003037"</f>
        <v xml:space="preserve">          P170003037</v>
      </c>
      <c r="X1429" s="1">
        <v>5298.73</v>
      </c>
      <c r="Y1429">
        <v>-955.51</v>
      </c>
      <c r="Z1429" s="5">
        <v>4343.22</v>
      </c>
      <c r="AA1429" s="3">
        <v>-25</v>
      </c>
      <c r="AB1429" s="5">
        <v>-108580.5</v>
      </c>
      <c r="AC1429" s="1">
        <v>4343.22</v>
      </c>
      <c r="AD1429">
        <v>-25</v>
      </c>
      <c r="AE1429" s="1">
        <v>-108580.5</v>
      </c>
      <c r="AF1429">
        <v>0</v>
      </c>
      <c r="AJ1429">
        <v>-955.51</v>
      </c>
      <c r="AK1429" s="1">
        <v>4343.22</v>
      </c>
      <c r="AL1429" s="1">
        <v>4343.22</v>
      </c>
      <c r="AM1429">
        <v>-955.51</v>
      </c>
      <c r="AN1429" s="1">
        <v>4343.22</v>
      </c>
      <c r="AO1429" s="1">
        <v>4343.22</v>
      </c>
      <c r="AP1429" s="2">
        <v>42831</v>
      </c>
      <c r="AQ1429" t="s">
        <v>72</v>
      </c>
      <c r="AR1429" t="s">
        <v>72</v>
      </c>
      <c r="AS1429">
        <v>723</v>
      </c>
      <c r="AT1429" s="4">
        <v>42797</v>
      </c>
      <c r="AV1429">
        <v>723</v>
      </c>
      <c r="AW1429" s="4">
        <v>42797</v>
      </c>
      <c r="BD1429">
        <v>0</v>
      </c>
      <c r="BN1429" t="s">
        <v>74</v>
      </c>
    </row>
    <row r="1430" spans="1:66">
      <c r="A1430">
        <v>102685</v>
      </c>
      <c r="B1430" t="s">
        <v>343</v>
      </c>
      <c r="C1430" s="1">
        <v>43300101</v>
      </c>
      <c r="D1430" t="s">
        <v>67</v>
      </c>
      <c r="H1430" t="str">
        <f t="shared" si="186"/>
        <v>00484960588</v>
      </c>
      <c r="I1430" t="str">
        <f t="shared" si="187"/>
        <v>00905811006</v>
      </c>
      <c r="K1430" t="str">
        <f>""</f>
        <v/>
      </c>
      <c r="M1430" t="s">
        <v>68</v>
      </c>
      <c r="N1430" t="str">
        <f t="shared" si="184"/>
        <v>FOR</v>
      </c>
      <c r="O1430" t="s">
        <v>69</v>
      </c>
      <c r="P1430" t="s">
        <v>344</v>
      </c>
      <c r="Q1430">
        <v>2017</v>
      </c>
      <c r="R1430" s="4">
        <v>42754</v>
      </c>
      <c r="S1430" s="2">
        <v>42765</v>
      </c>
      <c r="T1430" s="2">
        <v>42762</v>
      </c>
      <c r="U1430" s="4">
        <v>42822</v>
      </c>
      <c r="V1430" t="s">
        <v>71</v>
      </c>
      <c r="W1430" t="str">
        <f>"          P170003040"</f>
        <v xml:space="preserve">          P170003040</v>
      </c>
      <c r="X1430" s="1">
        <v>24330.880000000001</v>
      </c>
      <c r="Y1430" s="1">
        <v>-4373.12</v>
      </c>
      <c r="Z1430" s="5">
        <v>19957.759999999998</v>
      </c>
      <c r="AA1430" s="3">
        <v>-25</v>
      </c>
      <c r="AB1430" s="5">
        <v>-498944</v>
      </c>
      <c r="AC1430" s="1">
        <v>19957.759999999998</v>
      </c>
      <c r="AD1430">
        <v>-25</v>
      </c>
      <c r="AE1430" s="1">
        <v>-498944</v>
      </c>
      <c r="AF1430">
        <v>0</v>
      </c>
      <c r="AJ1430" s="1">
        <v>-4373.12</v>
      </c>
      <c r="AK1430" s="1">
        <v>19957.759999999998</v>
      </c>
      <c r="AL1430" s="1">
        <v>19957.759999999998</v>
      </c>
      <c r="AM1430" s="1">
        <v>-4373.12</v>
      </c>
      <c r="AN1430" s="1">
        <v>19957.759999999998</v>
      </c>
      <c r="AO1430" s="1">
        <v>19957.759999999998</v>
      </c>
      <c r="AP1430" s="2">
        <v>42831</v>
      </c>
      <c r="AQ1430" t="s">
        <v>72</v>
      </c>
      <c r="AR1430" t="s">
        <v>72</v>
      </c>
      <c r="AS1430">
        <v>723</v>
      </c>
      <c r="AT1430" s="4">
        <v>42797</v>
      </c>
      <c r="AV1430">
        <v>723</v>
      </c>
      <c r="AW1430" s="4">
        <v>42797</v>
      </c>
      <c r="BD1430">
        <v>0</v>
      </c>
      <c r="BN1430" t="s">
        <v>74</v>
      </c>
    </row>
    <row r="1431" spans="1:66">
      <c r="A1431">
        <v>102685</v>
      </c>
      <c r="B1431" t="s">
        <v>343</v>
      </c>
      <c r="C1431" s="1">
        <v>43300101</v>
      </c>
      <c r="D1431" t="s">
        <v>67</v>
      </c>
      <c r="H1431" t="str">
        <f t="shared" si="186"/>
        <v>00484960588</v>
      </c>
      <c r="I1431" t="str">
        <f t="shared" si="187"/>
        <v>00905811006</v>
      </c>
      <c r="K1431" t="str">
        <f>""</f>
        <v/>
      </c>
      <c r="M1431" t="s">
        <v>68</v>
      </c>
      <c r="N1431" t="str">
        <f t="shared" si="184"/>
        <v>FOR</v>
      </c>
      <c r="O1431" t="s">
        <v>69</v>
      </c>
      <c r="P1431" t="s">
        <v>344</v>
      </c>
      <c r="Q1431">
        <v>2017</v>
      </c>
      <c r="R1431" s="4">
        <v>42754</v>
      </c>
      <c r="S1431" s="2">
        <v>42765</v>
      </c>
      <c r="T1431" s="2">
        <v>42762</v>
      </c>
      <c r="U1431" s="4">
        <v>42822</v>
      </c>
      <c r="V1431" t="s">
        <v>71</v>
      </c>
      <c r="W1431" t="str">
        <f>"          P170003043"</f>
        <v xml:space="preserve">          P170003043</v>
      </c>
      <c r="X1431" s="1">
        <v>29906.77</v>
      </c>
      <c r="Y1431" s="1">
        <v>-5361.41</v>
      </c>
      <c r="Z1431" s="5">
        <v>24545.360000000001</v>
      </c>
      <c r="AA1431" s="3">
        <v>-25</v>
      </c>
      <c r="AB1431" s="5">
        <v>-613634</v>
      </c>
      <c r="AC1431" s="1">
        <v>24545.360000000001</v>
      </c>
      <c r="AD1431">
        <v>-25</v>
      </c>
      <c r="AE1431" s="1">
        <v>-613634</v>
      </c>
      <c r="AF1431">
        <v>0</v>
      </c>
      <c r="AJ1431" s="1">
        <v>-5361.41</v>
      </c>
      <c r="AK1431" s="1">
        <v>24545.360000000001</v>
      </c>
      <c r="AL1431" s="1">
        <v>24545.360000000001</v>
      </c>
      <c r="AM1431" s="1">
        <v>-5361.41</v>
      </c>
      <c r="AN1431" s="1">
        <v>24545.360000000001</v>
      </c>
      <c r="AO1431" s="1">
        <v>24545.360000000001</v>
      </c>
      <c r="AP1431" s="2">
        <v>42831</v>
      </c>
      <c r="AQ1431" t="s">
        <v>72</v>
      </c>
      <c r="AR1431" t="s">
        <v>72</v>
      </c>
      <c r="AS1431">
        <v>723</v>
      </c>
      <c r="AT1431" s="4">
        <v>42797</v>
      </c>
      <c r="AV1431">
        <v>723</v>
      </c>
      <c r="AW1431" s="4">
        <v>42797</v>
      </c>
      <c r="BD1431">
        <v>0</v>
      </c>
      <c r="BN1431" t="s">
        <v>74</v>
      </c>
    </row>
    <row r="1432" spans="1:66">
      <c r="A1432">
        <v>102685</v>
      </c>
      <c r="B1432" t="s">
        <v>343</v>
      </c>
      <c r="C1432" s="1">
        <v>43300101</v>
      </c>
      <c r="D1432" t="s">
        <v>67</v>
      </c>
      <c r="H1432" t="str">
        <f t="shared" si="186"/>
        <v>00484960588</v>
      </c>
      <c r="I1432" t="str">
        <f t="shared" si="187"/>
        <v>00905811006</v>
      </c>
      <c r="K1432" t="str">
        <f>""</f>
        <v/>
      </c>
      <c r="M1432" t="s">
        <v>68</v>
      </c>
      <c r="N1432" t="str">
        <f t="shared" si="184"/>
        <v>FOR</v>
      </c>
      <c r="O1432" t="s">
        <v>69</v>
      </c>
      <c r="P1432" t="s">
        <v>344</v>
      </c>
      <c r="Q1432">
        <v>2017</v>
      </c>
      <c r="R1432" s="4">
        <v>42754</v>
      </c>
      <c r="S1432" s="2">
        <v>42765</v>
      </c>
      <c r="T1432" s="2">
        <v>42762</v>
      </c>
      <c r="U1432" s="4">
        <v>42822</v>
      </c>
      <c r="V1432" t="s">
        <v>71</v>
      </c>
      <c r="W1432" t="str">
        <f>"          P170003044"</f>
        <v xml:space="preserve">          P170003044</v>
      </c>
      <c r="X1432" s="1">
        <v>55940.81</v>
      </c>
      <c r="Y1432" s="1">
        <v>-10087.69</v>
      </c>
      <c r="Z1432" s="5">
        <v>45853.120000000003</v>
      </c>
      <c r="AA1432" s="3">
        <v>-25</v>
      </c>
      <c r="AB1432" s="5">
        <v>-1146328</v>
      </c>
      <c r="AC1432" s="1">
        <v>45853.120000000003</v>
      </c>
      <c r="AD1432">
        <v>-25</v>
      </c>
      <c r="AE1432" s="1">
        <v>-1146328</v>
      </c>
      <c r="AF1432">
        <v>0</v>
      </c>
      <c r="AJ1432" s="1">
        <v>-10087.69</v>
      </c>
      <c r="AK1432" s="1">
        <v>45853.120000000003</v>
      </c>
      <c r="AL1432" s="1">
        <v>45853.120000000003</v>
      </c>
      <c r="AM1432" s="1">
        <v>-10087.69</v>
      </c>
      <c r="AN1432" s="1">
        <v>45853.120000000003</v>
      </c>
      <c r="AO1432" s="1">
        <v>45853.120000000003</v>
      </c>
      <c r="AP1432" s="2">
        <v>42831</v>
      </c>
      <c r="AQ1432" t="s">
        <v>72</v>
      </c>
      <c r="AR1432" t="s">
        <v>72</v>
      </c>
      <c r="AS1432">
        <v>723</v>
      </c>
      <c r="AT1432" s="4">
        <v>42797</v>
      </c>
      <c r="AV1432">
        <v>723</v>
      </c>
      <c r="AW1432" s="4">
        <v>42797</v>
      </c>
      <c r="BD1432">
        <v>0</v>
      </c>
      <c r="BN1432" t="s">
        <v>74</v>
      </c>
    </row>
    <row r="1433" spans="1:66">
      <c r="A1433">
        <v>102685</v>
      </c>
      <c r="B1433" t="s">
        <v>343</v>
      </c>
      <c r="C1433" s="1">
        <v>43300101</v>
      </c>
      <c r="D1433" t="s">
        <v>67</v>
      </c>
      <c r="H1433" t="str">
        <f t="shared" si="186"/>
        <v>00484960588</v>
      </c>
      <c r="I1433" t="str">
        <f t="shared" si="187"/>
        <v>00905811006</v>
      </c>
      <c r="K1433" t="str">
        <f>""</f>
        <v/>
      </c>
      <c r="M1433" t="s">
        <v>68</v>
      </c>
      <c r="N1433" t="str">
        <f t="shared" ref="N1433:N1464" si="188">"FOR"</f>
        <v>FOR</v>
      </c>
      <c r="O1433" t="s">
        <v>69</v>
      </c>
      <c r="P1433" t="s">
        <v>75</v>
      </c>
      <c r="Q1433">
        <v>2017</v>
      </c>
      <c r="R1433" s="4">
        <v>42782</v>
      </c>
      <c r="S1433" s="2">
        <v>42794</v>
      </c>
      <c r="T1433" s="2">
        <v>42790</v>
      </c>
      <c r="U1433" s="4">
        <v>42850</v>
      </c>
      <c r="V1433" t="s">
        <v>71</v>
      </c>
      <c r="W1433" t="str">
        <f>"          P170009048"</f>
        <v xml:space="preserve">          P170009048</v>
      </c>
      <c r="X1433">
        <v>216.83</v>
      </c>
      <c r="Y1433">
        <v>-11.5</v>
      </c>
      <c r="Z1433" s="5">
        <v>205.33</v>
      </c>
      <c r="AA1433" s="3">
        <v>-32</v>
      </c>
      <c r="AB1433" s="5">
        <v>-6570.56</v>
      </c>
      <c r="AC1433">
        <v>205.33</v>
      </c>
      <c r="AD1433">
        <v>-32</v>
      </c>
      <c r="AE1433" s="1">
        <v>-6570.56</v>
      </c>
      <c r="AF1433">
        <v>0</v>
      </c>
      <c r="AJ1433">
        <v>-11.5</v>
      </c>
      <c r="AK1433">
        <v>205.33</v>
      </c>
      <c r="AL1433">
        <v>205.33</v>
      </c>
      <c r="AM1433">
        <v>-11.5</v>
      </c>
      <c r="AN1433">
        <v>205.33</v>
      </c>
      <c r="AO1433">
        <v>205.33</v>
      </c>
      <c r="AP1433" s="2">
        <v>42831</v>
      </c>
      <c r="AQ1433" t="s">
        <v>72</v>
      </c>
      <c r="AR1433" t="s">
        <v>72</v>
      </c>
      <c r="AS1433">
        <v>899</v>
      </c>
      <c r="AT1433" s="4">
        <v>42818</v>
      </c>
      <c r="AV1433">
        <v>899</v>
      </c>
      <c r="AW1433" s="4">
        <v>42818</v>
      </c>
      <c r="BD1433">
        <v>0</v>
      </c>
      <c r="BN1433" t="s">
        <v>74</v>
      </c>
    </row>
    <row r="1434" spans="1:66">
      <c r="A1434">
        <v>102685</v>
      </c>
      <c r="B1434" t="s">
        <v>343</v>
      </c>
      <c r="C1434" s="1">
        <v>43300101</v>
      </c>
      <c r="D1434" t="s">
        <v>67</v>
      </c>
      <c r="H1434" t="str">
        <f t="shared" si="186"/>
        <v>00484960588</v>
      </c>
      <c r="I1434" t="str">
        <f t="shared" si="187"/>
        <v>00905811006</v>
      </c>
      <c r="K1434" t="str">
        <f>""</f>
        <v/>
      </c>
      <c r="M1434" t="s">
        <v>68</v>
      </c>
      <c r="N1434" t="str">
        <f t="shared" si="188"/>
        <v>FOR</v>
      </c>
      <c r="O1434" t="s">
        <v>69</v>
      </c>
      <c r="P1434" t="s">
        <v>344</v>
      </c>
      <c r="Q1434">
        <v>2017</v>
      </c>
      <c r="R1434" s="4">
        <v>42782</v>
      </c>
      <c r="S1434" s="2">
        <v>42794</v>
      </c>
      <c r="T1434" s="2">
        <v>42790</v>
      </c>
      <c r="U1434" s="4">
        <v>42850</v>
      </c>
      <c r="V1434" t="s">
        <v>71</v>
      </c>
      <c r="W1434" t="str">
        <f>"          P170009052"</f>
        <v xml:space="preserve">          P170009052</v>
      </c>
      <c r="X1434" s="1">
        <v>34192.910000000003</v>
      </c>
      <c r="Y1434" s="1">
        <v>-6138.33</v>
      </c>
      <c r="Z1434" s="5">
        <v>28054.58</v>
      </c>
      <c r="AA1434" s="3">
        <v>-32</v>
      </c>
      <c r="AB1434" s="5">
        <v>-897746.56</v>
      </c>
      <c r="AC1434" s="1">
        <v>28054.58</v>
      </c>
      <c r="AD1434">
        <v>-32</v>
      </c>
      <c r="AE1434" s="1">
        <v>-897746.56</v>
      </c>
      <c r="AF1434">
        <v>0</v>
      </c>
      <c r="AJ1434" s="1">
        <v>28054.58</v>
      </c>
      <c r="AK1434" s="1">
        <v>28054.58</v>
      </c>
      <c r="AL1434" s="1">
        <v>28054.58</v>
      </c>
      <c r="AM1434" s="1">
        <v>28054.58</v>
      </c>
      <c r="AN1434" s="1">
        <v>28054.58</v>
      </c>
      <c r="AO1434" s="1">
        <v>28054.58</v>
      </c>
      <c r="AP1434" s="2">
        <v>42831</v>
      </c>
      <c r="AQ1434" t="s">
        <v>72</v>
      </c>
      <c r="AR1434" t="s">
        <v>72</v>
      </c>
      <c r="AS1434">
        <v>899</v>
      </c>
      <c r="AT1434" s="4">
        <v>42818</v>
      </c>
      <c r="AV1434">
        <v>899</v>
      </c>
      <c r="AW1434" s="4">
        <v>42818</v>
      </c>
      <c r="BD1434">
        <v>0</v>
      </c>
      <c r="BN1434" t="s">
        <v>74</v>
      </c>
    </row>
    <row r="1435" spans="1:66">
      <c r="A1435">
        <v>102685</v>
      </c>
      <c r="B1435" t="s">
        <v>343</v>
      </c>
      <c r="C1435" s="1">
        <v>43300101</v>
      </c>
      <c r="D1435" t="s">
        <v>67</v>
      </c>
      <c r="H1435" t="str">
        <f t="shared" si="186"/>
        <v>00484960588</v>
      </c>
      <c r="I1435" t="str">
        <f t="shared" si="187"/>
        <v>00905811006</v>
      </c>
      <c r="K1435" t="str">
        <f>""</f>
        <v/>
      </c>
      <c r="M1435" t="s">
        <v>68</v>
      </c>
      <c r="N1435" t="str">
        <f t="shared" si="188"/>
        <v>FOR</v>
      </c>
      <c r="O1435" t="s">
        <v>69</v>
      </c>
      <c r="P1435" t="s">
        <v>75</v>
      </c>
      <c r="Q1435">
        <v>2017</v>
      </c>
      <c r="R1435" s="4">
        <v>42782</v>
      </c>
      <c r="S1435" s="2">
        <v>42794</v>
      </c>
      <c r="T1435" s="2">
        <v>42790</v>
      </c>
      <c r="U1435" s="4">
        <v>42850</v>
      </c>
      <c r="V1435" t="s">
        <v>71</v>
      </c>
      <c r="W1435" t="str">
        <f>"          P170009055"</f>
        <v xml:space="preserve">          P170009055</v>
      </c>
      <c r="X1435" s="1">
        <v>29711.19</v>
      </c>
      <c r="Y1435" s="1">
        <v>-5330.15</v>
      </c>
      <c r="Z1435" s="5">
        <v>24381.040000000001</v>
      </c>
      <c r="AA1435" s="3">
        <v>-32</v>
      </c>
      <c r="AB1435" s="5">
        <v>-780193.28000000003</v>
      </c>
      <c r="AC1435" s="1">
        <v>24381.040000000001</v>
      </c>
      <c r="AD1435">
        <v>-32</v>
      </c>
      <c r="AE1435" s="1">
        <v>-780193.28000000003</v>
      </c>
      <c r="AF1435">
        <v>0</v>
      </c>
      <c r="AJ1435" s="1">
        <v>-5330.15</v>
      </c>
      <c r="AK1435" s="1">
        <v>24381.040000000001</v>
      </c>
      <c r="AL1435" s="1">
        <v>24381.040000000001</v>
      </c>
      <c r="AM1435" s="1">
        <v>-5330.15</v>
      </c>
      <c r="AN1435" s="1">
        <v>24381.040000000001</v>
      </c>
      <c r="AO1435" s="1">
        <v>24381.040000000001</v>
      </c>
      <c r="AP1435" s="2">
        <v>42831</v>
      </c>
      <c r="AQ1435" t="s">
        <v>72</v>
      </c>
      <c r="AR1435" t="s">
        <v>72</v>
      </c>
      <c r="AS1435">
        <v>899</v>
      </c>
      <c r="AT1435" s="4">
        <v>42818</v>
      </c>
      <c r="AV1435">
        <v>899</v>
      </c>
      <c r="AW1435" s="4">
        <v>42818</v>
      </c>
      <c r="BD1435">
        <v>0</v>
      </c>
      <c r="BN1435" t="s">
        <v>74</v>
      </c>
    </row>
    <row r="1436" spans="1:66">
      <c r="A1436">
        <v>102685</v>
      </c>
      <c r="B1436" t="s">
        <v>343</v>
      </c>
      <c r="C1436" s="1">
        <v>43300101</v>
      </c>
      <c r="D1436" t="s">
        <v>67</v>
      </c>
      <c r="H1436" t="str">
        <f t="shared" si="186"/>
        <v>00484960588</v>
      </c>
      <c r="I1436" t="str">
        <f t="shared" si="187"/>
        <v>00905811006</v>
      </c>
      <c r="K1436" t="str">
        <f>""</f>
        <v/>
      </c>
      <c r="M1436" t="s">
        <v>68</v>
      </c>
      <c r="N1436" t="str">
        <f t="shared" si="188"/>
        <v>FOR</v>
      </c>
      <c r="O1436" t="s">
        <v>69</v>
      </c>
      <c r="P1436" t="s">
        <v>75</v>
      </c>
      <c r="Q1436">
        <v>2017</v>
      </c>
      <c r="R1436" s="4">
        <v>42782</v>
      </c>
      <c r="S1436" s="2">
        <v>42794</v>
      </c>
      <c r="T1436" s="2">
        <v>42790</v>
      </c>
      <c r="U1436" s="4">
        <v>42850</v>
      </c>
      <c r="V1436" t="s">
        <v>71</v>
      </c>
      <c r="W1436" t="str">
        <f>"          P170009056"</f>
        <v xml:space="preserve">          P170009056</v>
      </c>
      <c r="X1436" s="1">
        <v>7524.05</v>
      </c>
      <c r="Y1436" s="1">
        <v>-1329.19</v>
      </c>
      <c r="Z1436" s="5">
        <v>6194.86</v>
      </c>
      <c r="AA1436" s="3">
        <v>-32</v>
      </c>
      <c r="AB1436" s="5">
        <v>-198235.51999999999</v>
      </c>
      <c r="AC1436" s="1">
        <v>6194.86</v>
      </c>
      <c r="AD1436">
        <v>-32</v>
      </c>
      <c r="AE1436" s="1">
        <v>-198235.51999999999</v>
      </c>
      <c r="AF1436">
        <v>0</v>
      </c>
      <c r="AJ1436" s="1">
        <v>-1329.19</v>
      </c>
      <c r="AK1436" s="1">
        <v>6194.86</v>
      </c>
      <c r="AL1436" s="1">
        <v>6194.86</v>
      </c>
      <c r="AM1436" s="1">
        <v>-1329.19</v>
      </c>
      <c r="AN1436" s="1">
        <v>6194.86</v>
      </c>
      <c r="AO1436" s="1">
        <v>6194.86</v>
      </c>
      <c r="AP1436" s="2">
        <v>42831</v>
      </c>
      <c r="AQ1436" t="s">
        <v>72</v>
      </c>
      <c r="AR1436" t="s">
        <v>72</v>
      </c>
      <c r="AS1436">
        <v>899</v>
      </c>
      <c r="AT1436" s="4">
        <v>42818</v>
      </c>
      <c r="AV1436">
        <v>899</v>
      </c>
      <c r="AW1436" s="4">
        <v>42818</v>
      </c>
      <c r="BD1436">
        <v>0</v>
      </c>
      <c r="BN1436" t="s">
        <v>74</v>
      </c>
    </row>
    <row r="1437" spans="1:66">
      <c r="A1437">
        <v>102698</v>
      </c>
      <c r="B1437" t="s">
        <v>345</v>
      </c>
      <c r="C1437" s="1">
        <v>43300101</v>
      </c>
      <c r="D1437" t="s">
        <v>67</v>
      </c>
      <c r="H1437" t="str">
        <f t="shared" ref="H1437:I1453" si="189">"01409770631"</f>
        <v>01409770631</v>
      </c>
      <c r="I1437" t="str">
        <f t="shared" si="189"/>
        <v>01409770631</v>
      </c>
      <c r="K1437" t="str">
        <f>""</f>
        <v/>
      </c>
      <c r="M1437" t="s">
        <v>68</v>
      </c>
      <c r="N1437" t="str">
        <f t="shared" si="188"/>
        <v>FOR</v>
      </c>
      <c r="O1437" t="s">
        <v>69</v>
      </c>
      <c r="P1437" t="s">
        <v>75</v>
      </c>
      <c r="Q1437">
        <v>2016</v>
      </c>
      <c r="R1437" s="4">
        <v>42444</v>
      </c>
      <c r="S1437" s="2">
        <v>42486</v>
      </c>
      <c r="T1437" s="2">
        <v>42482</v>
      </c>
      <c r="U1437" s="4">
        <v>42542</v>
      </c>
      <c r="V1437" t="s">
        <v>71</v>
      </c>
      <c r="W1437" t="str">
        <f>"               9/491"</f>
        <v xml:space="preserve">               9/491</v>
      </c>
      <c r="X1437" s="1">
        <v>2830.4</v>
      </c>
      <c r="Y1437">
        <v>0</v>
      </c>
      <c r="Z1437" s="5">
        <v>2320</v>
      </c>
      <c r="AA1437" s="3">
        <v>232</v>
      </c>
      <c r="AB1437" s="5">
        <v>538240</v>
      </c>
      <c r="AC1437" s="1">
        <v>2320</v>
      </c>
      <c r="AD1437">
        <v>232</v>
      </c>
      <c r="AE1437" s="1">
        <v>538240</v>
      </c>
      <c r="AF1437">
        <v>0</v>
      </c>
      <c r="AJ1437">
        <v>0</v>
      </c>
      <c r="AK1437">
        <v>0</v>
      </c>
      <c r="AL1437">
        <v>0</v>
      </c>
      <c r="AM1437">
        <v>0</v>
      </c>
      <c r="AN1437">
        <v>0</v>
      </c>
      <c r="AO1437">
        <v>0</v>
      </c>
      <c r="AP1437" s="2">
        <v>42831</v>
      </c>
      <c r="AQ1437" t="s">
        <v>72</v>
      </c>
      <c r="AR1437" t="s">
        <v>72</v>
      </c>
      <c r="AS1437">
        <v>351</v>
      </c>
      <c r="AT1437" s="4">
        <v>42774</v>
      </c>
      <c r="AU1437" t="s">
        <v>73</v>
      </c>
      <c r="AV1437">
        <v>351</v>
      </c>
      <c r="AW1437" s="4">
        <v>42774</v>
      </c>
      <c r="BD1437">
        <v>0</v>
      </c>
      <c r="BN1437" t="s">
        <v>74</v>
      </c>
    </row>
    <row r="1438" spans="1:66">
      <c r="A1438">
        <v>102698</v>
      </c>
      <c r="B1438" t="s">
        <v>345</v>
      </c>
      <c r="C1438" s="1">
        <v>43300101</v>
      </c>
      <c r="D1438" t="s">
        <v>67</v>
      </c>
      <c r="H1438" t="str">
        <f t="shared" si="189"/>
        <v>01409770631</v>
      </c>
      <c r="I1438" t="str">
        <f t="shared" si="189"/>
        <v>01409770631</v>
      </c>
      <c r="K1438" t="str">
        <f>""</f>
        <v/>
      </c>
      <c r="M1438" t="s">
        <v>68</v>
      </c>
      <c r="N1438" t="str">
        <f t="shared" si="188"/>
        <v>FOR</v>
      </c>
      <c r="O1438" t="s">
        <v>69</v>
      </c>
      <c r="P1438" t="s">
        <v>75</v>
      </c>
      <c r="Q1438">
        <v>2016</v>
      </c>
      <c r="R1438" s="4">
        <v>42460</v>
      </c>
      <c r="S1438" s="2">
        <v>42492</v>
      </c>
      <c r="T1438" s="2">
        <v>42488</v>
      </c>
      <c r="U1438" s="4">
        <v>42548</v>
      </c>
      <c r="V1438" t="s">
        <v>71</v>
      </c>
      <c r="W1438" t="str">
        <f>"               9/601"</f>
        <v xml:space="preserve">               9/601</v>
      </c>
      <c r="X1438" s="1">
        <v>1211.3699999999999</v>
      </c>
      <c r="Y1438">
        <v>0</v>
      </c>
      <c r="Z1438" s="5">
        <v>992.93</v>
      </c>
      <c r="AA1438" s="3">
        <v>226</v>
      </c>
      <c r="AB1438" s="5">
        <v>224402.18</v>
      </c>
      <c r="AC1438">
        <v>992.93</v>
      </c>
      <c r="AD1438">
        <v>226</v>
      </c>
      <c r="AE1438" s="1">
        <v>224402.18</v>
      </c>
      <c r="AF1438">
        <v>0</v>
      </c>
      <c r="AJ1438">
        <v>0</v>
      </c>
      <c r="AK1438">
        <v>0</v>
      </c>
      <c r="AL1438">
        <v>0</v>
      </c>
      <c r="AM1438">
        <v>0</v>
      </c>
      <c r="AN1438">
        <v>0</v>
      </c>
      <c r="AO1438">
        <v>0</v>
      </c>
      <c r="AP1438" s="2">
        <v>42831</v>
      </c>
      <c r="AQ1438" t="s">
        <v>72</v>
      </c>
      <c r="AR1438" t="s">
        <v>72</v>
      </c>
      <c r="AS1438">
        <v>351</v>
      </c>
      <c r="AT1438" s="4">
        <v>42774</v>
      </c>
      <c r="AU1438" t="s">
        <v>73</v>
      </c>
      <c r="AV1438">
        <v>351</v>
      </c>
      <c r="AW1438" s="4">
        <v>42774</v>
      </c>
      <c r="BD1438">
        <v>0</v>
      </c>
      <c r="BN1438" t="s">
        <v>74</v>
      </c>
    </row>
    <row r="1439" spans="1:66">
      <c r="A1439">
        <v>102698</v>
      </c>
      <c r="B1439" t="s">
        <v>345</v>
      </c>
      <c r="C1439" s="1">
        <v>43300101</v>
      </c>
      <c r="D1439" t="s">
        <v>67</v>
      </c>
      <c r="H1439" t="str">
        <f t="shared" si="189"/>
        <v>01409770631</v>
      </c>
      <c r="I1439" t="str">
        <f t="shared" si="189"/>
        <v>01409770631</v>
      </c>
      <c r="K1439" t="str">
        <f>""</f>
        <v/>
      </c>
      <c r="M1439" t="s">
        <v>68</v>
      </c>
      <c r="N1439" t="str">
        <f t="shared" si="188"/>
        <v>FOR</v>
      </c>
      <c r="O1439" t="s">
        <v>69</v>
      </c>
      <c r="P1439" t="s">
        <v>75</v>
      </c>
      <c r="Q1439">
        <v>2016</v>
      </c>
      <c r="R1439" s="4">
        <v>42460</v>
      </c>
      <c r="S1439" s="2">
        <v>42492</v>
      </c>
      <c r="T1439" s="2">
        <v>42488</v>
      </c>
      <c r="U1439" s="4">
        <v>42548</v>
      </c>
      <c r="V1439" t="s">
        <v>71</v>
      </c>
      <c r="W1439" t="str">
        <f>"               9/602"</f>
        <v xml:space="preserve">               9/602</v>
      </c>
      <c r="X1439" s="1">
        <v>2084.7399999999998</v>
      </c>
      <c r="Y1439">
        <v>0</v>
      </c>
      <c r="Z1439" s="5">
        <v>1708.8</v>
      </c>
      <c r="AA1439" s="3">
        <v>226</v>
      </c>
      <c r="AB1439" s="5">
        <v>386188.79999999999</v>
      </c>
      <c r="AC1439" s="1">
        <v>1708.8</v>
      </c>
      <c r="AD1439">
        <v>226</v>
      </c>
      <c r="AE1439" s="1">
        <v>386188.79999999999</v>
      </c>
      <c r="AF1439">
        <v>0</v>
      </c>
      <c r="AJ1439">
        <v>0</v>
      </c>
      <c r="AK1439">
        <v>0</v>
      </c>
      <c r="AL1439">
        <v>0</v>
      </c>
      <c r="AM1439">
        <v>0</v>
      </c>
      <c r="AN1439">
        <v>0</v>
      </c>
      <c r="AO1439">
        <v>0</v>
      </c>
      <c r="AP1439" s="2">
        <v>42831</v>
      </c>
      <c r="AQ1439" t="s">
        <v>72</v>
      </c>
      <c r="AR1439" t="s">
        <v>72</v>
      </c>
      <c r="AS1439">
        <v>351</v>
      </c>
      <c r="AT1439" s="4">
        <v>42774</v>
      </c>
      <c r="AU1439" t="s">
        <v>73</v>
      </c>
      <c r="AV1439">
        <v>351</v>
      </c>
      <c r="AW1439" s="4">
        <v>42774</v>
      </c>
      <c r="BD1439">
        <v>0</v>
      </c>
      <c r="BN1439" t="s">
        <v>74</v>
      </c>
    </row>
    <row r="1440" spans="1:66">
      <c r="A1440">
        <v>102698</v>
      </c>
      <c r="B1440" t="s">
        <v>345</v>
      </c>
      <c r="C1440" s="1">
        <v>43300101</v>
      </c>
      <c r="D1440" t="s">
        <v>67</v>
      </c>
      <c r="H1440" t="str">
        <f t="shared" si="189"/>
        <v>01409770631</v>
      </c>
      <c r="I1440" t="str">
        <f t="shared" si="189"/>
        <v>01409770631</v>
      </c>
      <c r="K1440" t="str">
        <f>""</f>
        <v/>
      </c>
      <c r="M1440" t="s">
        <v>68</v>
      </c>
      <c r="N1440" t="str">
        <f t="shared" si="188"/>
        <v>FOR</v>
      </c>
      <c r="O1440" t="s">
        <v>69</v>
      </c>
      <c r="P1440" t="s">
        <v>75</v>
      </c>
      <c r="Q1440">
        <v>2016</v>
      </c>
      <c r="R1440" s="4">
        <v>42460</v>
      </c>
      <c r="S1440" s="2">
        <v>42492</v>
      </c>
      <c r="T1440" s="2">
        <v>42488</v>
      </c>
      <c r="U1440" s="4">
        <v>42548</v>
      </c>
      <c r="V1440" t="s">
        <v>71</v>
      </c>
      <c r="W1440" t="str">
        <f>"               9/603"</f>
        <v xml:space="preserve">               9/603</v>
      </c>
      <c r="X1440" s="1">
        <v>3225.07</v>
      </c>
      <c r="Y1440">
        <v>0</v>
      </c>
      <c r="Z1440" s="5">
        <v>2643.5</v>
      </c>
      <c r="AA1440" s="3">
        <v>226</v>
      </c>
      <c r="AB1440" s="5">
        <v>597431</v>
      </c>
      <c r="AC1440" s="1">
        <v>2643.5</v>
      </c>
      <c r="AD1440">
        <v>226</v>
      </c>
      <c r="AE1440" s="1">
        <v>597431</v>
      </c>
      <c r="AF1440">
        <v>0</v>
      </c>
      <c r="AJ1440">
        <v>0</v>
      </c>
      <c r="AK1440">
        <v>0</v>
      </c>
      <c r="AL1440">
        <v>0</v>
      </c>
      <c r="AM1440">
        <v>0</v>
      </c>
      <c r="AN1440">
        <v>0</v>
      </c>
      <c r="AO1440">
        <v>0</v>
      </c>
      <c r="AP1440" s="2">
        <v>42831</v>
      </c>
      <c r="AQ1440" t="s">
        <v>72</v>
      </c>
      <c r="AR1440" t="s">
        <v>72</v>
      </c>
      <c r="AS1440">
        <v>351</v>
      </c>
      <c r="AT1440" s="4">
        <v>42774</v>
      </c>
      <c r="AU1440" t="s">
        <v>73</v>
      </c>
      <c r="AV1440">
        <v>351</v>
      </c>
      <c r="AW1440" s="4">
        <v>42774</v>
      </c>
      <c r="BD1440">
        <v>0</v>
      </c>
      <c r="BN1440" t="s">
        <v>74</v>
      </c>
    </row>
    <row r="1441" spans="1:66">
      <c r="A1441">
        <v>102698</v>
      </c>
      <c r="B1441" t="s">
        <v>345</v>
      </c>
      <c r="C1441" s="1">
        <v>43300101</v>
      </c>
      <c r="D1441" t="s">
        <v>67</v>
      </c>
      <c r="H1441" t="str">
        <f t="shared" si="189"/>
        <v>01409770631</v>
      </c>
      <c r="I1441" t="str">
        <f t="shared" si="189"/>
        <v>01409770631</v>
      </c>
      <c r="K1441" t="str">
        <f>""</f>
        <v/>
      </c>
      <c r="M1441" t="s">
        <v>68</v>
      </c>
      <c r="N1441" t="str">
        <f t="shared" si="188"/>
        <v>FOR</v>
      </c>
      <c r="O1441" t="s">
        <v>69</v>
      </c>
      <c r="P1441" t="s">
        <v>75</v>
      </c>
      <c r="Q1441">
        <v>2016</v>
      </c>
      <c r="R1441" s="4">
        <v>42460</v>
      </c>
      <c r="S1441" s="2">
        <v>42492</v>
      </c>
      <c r="T1441" s="2">
        <v>42488</v>
      </c>
      <c r="U1441" s="4">
        <v>42548</v>
      </c>
      <c r="V1441" t="s">
        <v>71</v>
      </c>
      <c r="W1441" t="str">
        <f>"               9/604"</f>
        <v xml:space="preserve">               9/604</v>
      </c>
      <c r="X1441" s="1">
        <v>3225.07</v>
      </c>
      <c r="Y1441">
        <v>0</v>
      </c>
      <c r="Z1441" s="5">
        <v>2643.5</v>
      </c>
      <c r="AA1441" s="3">
        <v>226</v>
      </c>
      <c r="AB1441" s="5">
        <v>597431</v>
      </c>
      <c r="AC1441" s="1">
        <v>2643.5</v>
      </c>
      <c r="AD1441">
        <v>226</v>
      </c>
      <c r="AE1441" s="1">
        <v>597431</v>
      </c>
      <c r="AF1441">
        <v>0</v>
      </c>
      <c r="AJ1441">
        <v>0</v>
      </c>
      <c r="AK1441">
        <v>0</v>
      </c>
      <c r="AL1441">
        <v>0</v>
      </c>
      <c r="AM1441">
        <v>0</v>
      </c>
      <c r="AN1441">
        <v>0</v>
      </c>
      <c r="AO1441">
        <v>0</v>
      </c>
      <c r="AP1441" s="2">
        <v>42831</v>
      </c>
      <c r="AQ1441" t="s">
        <v>72</v>
      </c>
      <c r="AR1441" t="s">
        <v>72</v>
      </c>
      <c r="AS1441">
        <v>351</v>
      </c>
      <c r="AT1441" s="4">
        <v>42774</v>
      </c>
      <c r="AU1441" t="s">
        <v>73</v>
      </c>
      <c r="AV1441">
        <v>351</v>
      </c>
      <c r="AW1441" s="4">
        <v>42774</v>
      </c>
      <c r="BD1441">
        <v>0</v>
      </c>
      <c r="BN1441" t="s">
        <v>74</v>
      </c>
    </row>
    <row r="1442" spans="1:66">
      <c r="A1442">
        <v>102698</v>
      </c>
      <c r="B1442" t="s">
        <v>345</v>
      </c>
      <c r="C1442" s="1">
        <v>43300101</v>
      </c>
      <c r="D1442" t="s">
        <v>67</v>
      </c>
      <c r="H1442" t="str">
        <f t="shared" si="189"/>
        <v>01409770631</v>
      </c>
      <c r="I1442" t="str">
        <f t="shared" si="189"/>
        <v>01409770631</v>
      </c>
      <c r="K1442" t="str">
        <f>""</f>
        <v/>
      </c>
      <c r="M1442" t="s">
        <v>68</v>
      </c>
      <c r="N1442" t="str">
        <f t="shared" si="188"/>
        <v>FOR</v>
      </c>
      <c r="O1442" t="s">
        <v>69</v>
      </c>
      <c r="P1442" t="s">
        <v>75</v>
      </c>
      <c r="Q1442">
        <v>2016</v>
      </c>
      <c r="R1442" s="4">
        <v>42475</v>
      </c>
      <c r="S1442" s="2">
        <v>42509</v>
      </c>
      <c r="T1442" s="2">
        <v>42509</v>
      </c>
      <c r="U1442" s="4">
        <v>42569</v>
      </c>
      <c r="V1442" t="s">
        <v>71</v>
      </c>
      <c r="W1442" t="str">
        <f>"               9/743"</f>
        <v xml:space="preserve">               9/743</v>
      </c>
      <c r="X1442">
        <v>337.12</v>
      </c>
      <c r="Y1442">
        <v>0</v>
      </c>
      <c r="Z1442" s="5">
        <v>276.33</v>
      </c>
      <c r="AA1442" s="3">
        <v>213</v>
      </c>
      <c r="AB1442" s="5">
        <v>58858.29</v>
      </c>
      <c r="AC1442">
        <v>276.33</v>
      </c>
      <c r="AD1442">
        <v>213</v>
      </c>
      <c r="AE1442" s="1">
        <v>58858.29</v>
      </c>
      <c r="AF1442">
        <v>0</v>
      </c>
      <c r="AJ1442">
        <v>0</v>
      </c>
      <c r="AK1442">
        <v>0</v>
      </c>
      <c r="AL1442">
        <v>0</v>
      </c>
      <c r="AM1442">
        <v>0</v>
      </c>
      <c r="AN1442">
        <v>0</v>
      </c>
      <c r="AO1442">
        <v>0</v>
      </c>
      <c r="AP1442" s="2">
        <v>42831</v>
      </c>
      <c r="AQ1442" t="s">
        <v>72</v>
      </c>
      <c r="AR1442" t="s">
        <v>72</v>
      </c>
      <c r="AS1442">
        <v>477</v>
      </c>
      <c r="AT1442" s="4">
        <v>42782</v>
      </c>
      <c r="AU1442" t="s">
        <v>73</v>
      </c>
      <c r="AV1442">
        <v>477</v>
      </c>
      <c r="AW1442" s="4">
        <v>42782</v>
      </c>
      <c r="BD1442">
        <v>0</v>
      </c>
      <c r="BN1442" t="s">
        <v>74</v>
      </c>
    </row>
    <row r="1443" spans="1:66">
      <c r="A1443">
        <v>102698</v>
      </c>
      <c r="B1443" t="s">
        <v>345</v>
      </c>
      <c r="C1443" s="1">
        <v>43300101</v>
      </c>
      <c r="D1443" t="s">
        <v>67</v>
      </c>
      <c r="H1443" t="str">
        <f t="shared" si="189"/>
        <v>01409770631</v>
      </c>
      <c r="I1443" t="str">
        <f t="shared" si="189"/>
        <v>01409770631</v>
      </c>
      <c r="K1443" t="str">
        <f>""</f>
        <v/>
      </c>
      <c r="M1443" t="s">
        <v>68</v>
      </c>
      <c r="N1443" t="str">
        <f t="shared" si="188"/>
        <v>FOR</v>
      </c>
      <c r="O1443" t="s">
        <v>69</v>
      </c>
      <c r="P1443" t="s">
        <v>75</v>
      </c>
      <c r="Q1443">
        <v>2016</v>
      </c>
      <c r="R1443" s="4">
        <v>42475</v>
      </c>
      <c r="S1443" s="2">
        <v>42509</v>
      </c>
      <c r="T1443" s="2">
        <v>42509</v>
      </c>
      <c r="U1443" s="4">
        <v>42569</v>
      </c>
      <c r="V1443" t="s">
        <v>71</v>
      </c>
      <c r="W1443" t="str">
        <f>"               9/744"</f>
        <v xml:space="preserve">               9/744</v>
      </c>
      <c r="X1443" s="1">
        <v>3127.1</v>
      </c>
      <c r="Y1443">
        <v>0</v>
      </c>
      <c r="Z1443" s="5">
        <v>2563.1999999999998</v>
      </c>
      <c r="AA1443" s="3">
        <v>213</v>
      </c>
      <c r="AB1443" s="5">
        <v>545961.6</v>
      </c>
      <c r="AC1443" s="1">
        <v>2563.1999999999998</v>
      </c>
      <c r="AD1443">
        <v>213</v>
      </c>
      <c r="AE1443" s="1">
        <v>545961.6</v>
      </c>
      <c r="AF1443">
        <v>0</v>
      </c>
      <c r="AJ1443">
        <v>0</v>
      </c>
      <c r="AK1443">
        <v>0</v>
      </c>
      <c r="AL1443">
        <v>0</v>
      </c>
      <c r="AM1443">
        <v>0</v>
      </c>
      <c r="AN1443">
        <v>0</v>
      </c>
      <c r="AO1443">
        <v>0</v>
      </c>
      <c r="AP1443" s="2">
        <v>42831</v>
      </c>
      <c r="AQ1443" t="s">
        <v>72</v>
      </c>
      <c r="AR1443" t="s">
        <v>72</v>
      </c>
      <c r="AS1443">
        <v>477</v>
      </c>
      <c r="AT1443" s="4">
        <v>42782</v>
      </c>
      <c r="AU1443" t="s">
        <v>73</v>
      </c>
      <c r="AV1443">
        <v>477</v>
      </c>
      <c r="AW1443" s="4">
        <v>42782</v>
      </c>
      <c r="BD1443">
        <v>0</v>
      </c>
      <c r="BN1443" t="s">
        <v>74</v>
      </c>
    </row>
    <row r="1444" spans="1:66">
      <c r="A1444">
        <v>102698</v>
      </c>
      <c r="B1444" t="s">
        <v>345</v>
      </c>
      <c r="C1444" s="1">
        <v>43300101</v>
      </c>
      <c r="D1444" t="s">
        <v>67</v>
      </c>
      <c r="H1444" t="str">
        <f t="shared" si="189"/>
        <v>01409770631</v>
      </c>
      <c r="I1444" t="str">
        <f t="shared" si="189"/>
        <v>01409770631</v>
      </c>
      <c r="K1444" t="str">
        <f>""</f>
        <v/>
      </c>
      <c r="M1444" t="s">
        <v>68</v>
      </c>
      <c r="N1444" t="str">
        <f t="shared" si="188"/>
        <v>FOR</v>
      </c>
      <c r="O1444" t="s">
        <v>69</v>
      </c>
      <c r="P1444" t="s">
        <v>75</v>
      </c>
      <c r="Q1444">
        <v>2016</v>
      </c>
      <c r="R1444" s="4">
        <v>42475</v>
      </c>
      <c r="S1444" s="2">
        <v>42509</v>
      </c>
      <c r="T1444" s="2">
        <v>42509</v>
      </c>
      <c r="U1444" s="4">
        <v>42569</v>
      </c>
      <c r="V1444" t="s">
        <v>71</v>
      </c>
      <c r="W1444" t="str">
        <f>"               9/745"</f>
        <v xml:space="preserve">               9/745</v>
      </c>
      <c r="X1444" s="1">
        <v>12900.28</v>
      </c>
      <c r="Y1444">
        <v>0</v>
      </c>
      <c r="Z1444" s="5">
        <v>10574</v>
      </c>
      <c r="AA1444" s="3">
        <v>213</v>
      </c>
      <c r="AB1444" s="5">
        <v>2252262</v>
      </c>
      <c r="AC1444" s="1">
        <v>10574</v>
      </c>
      <c r="AD1444">
        <v>213</v>
      </c>
      <c r="AE1444" s="1">
        <v>2252262</v>
      </c>
      <c r="AF1444">
        <v>0</v>
      </c>
      <c r="AJ1444">
        <v>0</v>
      </c>
      <c r="AK1444">
        <v>0</v>
      </c>
      <c r="AL1444">
        <v>0</v>
      </c>
      <c r="AM1444">
        <v>0</v>
      </c>
      <c r="AN1444">
        <v>0</v>
      </c>
      <c r="AO1444">
        <v>0</v>
      </c>
      <c r="AP1444" s="2">
        <v>42831</v>
      </c>
      <c r="AQ1444" t="s">
        <v>72</v>
      </c>
      <c r="AR1444" t="s">
        <v>72</v>
      </c>
      <c r="AS1444">
        <v>477</v>
      </c>
      <c r="AT1444" s="4">
        <v>42782</v>
      </c>
      <c r="AU1444" t="s">
        <v>73</v>
      </c>
      <c r="AV1444">
        <v>477</v>
      </c>
      <c r="AW1444" s="4">
        <v>42782</v>
      </c>
      <c r="BD1444">
        <v>0</v>
      </c>
      <c r="BN1444" t="s">
        <v>74</v>
      </c>
    </row>
    <row r="1445" spans="1:66">
      <c r="A1445">
        <v>102698</v>
      </c>
      <c r="B1445" t="s">
        <v>345</v>
      </c>
      <c r="C1445" s="1">
        <v>43300101</v>
      </c>
      <c r="D1445" t="s">
        <v>67</v>
      </c>
      <c r="H1445" t="str">
        <f t="shared" si="189"/>
        <v>01409770631</v>
      </c>
      <c r="I1445" t="str">
        <f t="shared" si="189"/>
        <v>01409770631</v>
      </c>
      <c r="K1445" t="str">
        <f>""</f>
        <v/>
      </c>
      <c r="M1445" t="s">
        <v>68</v>
      </c>
      <c r="N1445" t="str">
        <f t="shared" si="188"/>
        <v>FOR</v>
      </c>
      <c r="O1445" t="s">
        <v>69</v>
      </c>
      <c r="P1445" t="s">
        <v>75</v>
      </c>
      <c r="Q1445">
        <v>2016</v>
      </c>
      <c r="R1445" s="4">
        <v>42490</v>
      </c>
      <c r="S1445" s="2">
        <v>42509</v>
      </c>
      <c r="T1445" s="2">
        <v>42509</v>
      </c>
      <c r="U1445" s="4">
        <v>42569</v>
      </c>
      <c r="V1445" t="s">
        <v>71</v>
      </c>
      <c r="W1445" t="str">
        <f>"               9/858"</f>
        <v xml:space="preserve">               9/858</v>
      </c>
      <c r="X1445" s="1">
        <v>2420.48</v>
      </c>
      <c r="Y1445">
        <v>0</v>
      </c>
      <c r="Z1445" s="5">
        <v>1984</v>
      </c>
      <c r="AA1445" s="3">
        <v>213</v>
      </c>
      <c r="AB1445" s="5">
        <v>422592</v>
      </c>
      <c r="AC1445" s="1">
        <v>1984</v>
      </c>
      <c r="AD1445">
        <v>213</v>
      </c>
      <c r="AE1445" s="1">
        <v>422592</v>
      </c>
      <c r="AF1445">
        <v>0</v>
      </c>
      <c r="AJ1445">
        <v>0</v>
      </c>
      <c r="AK1445">
        <v>0</v>
      </c>
      <c r="AL1445">
        <v>0</v>
      </c>
      <c r="AM1445">
        <v>0</v>
      </c>
      <c r="AN1445">
        <v>0</v>
      </c>
      <c r="AO1445">
        <v>0</v>
      </c>
      <c r="AP1445" s="2">
        <v>42831</v>
      </c>
      <c r="AQ1445" t="s">
        <v>72</v>
      </c>
      <c r="AR1445" t="s">
        <v>72</v>
      </c>
      <c r="AS1445">
        <v>477</v>
      </c>
      <c r="AT1445" s="4">
        <v>42782</v>
      </c>
      <c r="AU1445" t="s">
        <v>73</v>
      </c>
      <c r="AV1445">
        <v>477</v>
      </c>
      <c r="AW1445" s="4">
        <v>42782</v>
      </c>
      <c r="BD1445">
        <v>0</v>
      </c>
      <c r="BN1445" t="s">
        <v>74</v>
      </c>
    </row>
    <row r="1446" spans="1:66">
      <c r="A1446">
        <v>102698</v>
      </c>
      <c r="B1446" t="s">
        <v>345</v>
      </c>
      <c r="C1446" s="1">
        <v>43300101</v>
      </c>
      <c r="D1446" t="s">
        <v>67</v>
      </c>
      <c r="H1446" t="str">
        <f t="shared" si="189"/>
        <v>01409770631</v>
      </c>
      <c r="I1446" t="str">
        <f t="shared" si="189"/>
        <v>01409770631</v>
      </c>
      <c r="K1446" t="str">
        <f>""</f>
        <v/>
      </c>
      <c r="M1446" t="s">
        <v>68</v>
      </c>
      <c r="N1446" t="str">
        <f t="shared" si="188"/>
        <v>FOR</v>
      </c>
      <c r="O1446" t="s">
        <v>69</v>
      </c>
      <c r="P1446" t="s">
        <v>75</v>
      </c>
      <c r="Q1446">
        <v>2016</v>
      </c>
      <c r="R1446" s="4">
        <v>42506</v>
      </c>
      <c r="S1446" s="2">
        <v>42543</v>
      </c>
      <c r="T1446" s="2">
        <v>42541</v>
      </c>
      <c r="U1446" s="4">
        <v>42601</v>
      </c>
      <c r="V1446" t="s">
        <v>71</v>
      </c>
      <c r="W1446" t="str">
        <f>"               9/983"</f>
        <v xml:space="preserve">               9/983</v>
      </c>
      <c r="X1446" s="1">
        <v>5559.3</v>
      </c>
      <c r="Y1446">
        <v>0</v>
      </c>
      <c r="Z1446" s="5">
        <v>4556.8</v>
      </c>
      <c r="AA1446" s="3">
        <v>196</v>
      </c>
      <c r="AB1446" s="5">
        <v>893132.80000000005</v>
      </c>
      <c r="AC1446" s="1">
        <v>4556.8</v>
      </c>
      <c r="AD1446">
        <v>196</v>
      </c>
      <c r="AE1446" s="1">
        <v>893132.80000000005</v>
      </c>
      <c r="AF1446" s="1">
        <v>1002.5</v>
      </c>
      <c r="AJ1446">
        <v>0</v>
      </c>
      <c r="AK1446">
        <v>0</v>
      </c>
      <c r="AL1446">
        <v>0</v>
      </c>
      <c r="AM1446">
        <v>0</v>
      </c>
      <c r="AN1446">
        <v>0</v>
      </c>
      <c r="AO1446">
        <v>0</v>
      </c>
      <c r="AP1446" s="2">
        <v>42831</v>
      </c>
      <c r="AQ1446" t="s">
        <v>72</v>
      </c>
      <c r="AR1446" t="s">
        <v>72</v>
      </c>
      <c r="AS1446">
        <v>715</v>
      </c>
      <c r="AT1446" s="4">
        <v>42797</v>
      </c>
      <c r="AU1446" t="s">
        <v>73</v>
      </c>
      <c r="AV1446">
        <v>715</v>
      </c>
      <c r="AW1446" s="4">
        <v>42797</v>
      </c>
      <c r="BD1446" s="1">
        <v>1002.5</v>
      </c>
      <c r="BN1446" t="s">
        <v>74</v>
      </c>
    </row>
    <row r="1447" spans="1:66">
      <c r="A1447">
        <v>102698</v>
      </c>
      <c r="B1447" t="s">
        <v>345</v>
      </c>
      <c r="C1447" s="1">
        <v>43300101</v>
      </c>
      <c r="D1447" t="s">
        <v>67</v>
      </c>
      <c r="H1447" t="str">
        <f t="shared" si="189"/>
        <v>01409770631</v>
      </c>
      <c r="I1447" t="str">
        <f t="shared" si="189"/>
        <v>01409770631</v>
      </c>
      <c r="K1447" t="str">
        <f>""</f>
        <v/>
      </c>
      <c r="M1447" t="s">
        <v>68</v>
      </c>
      <c r="N1447" t="str">
        <f t="shared" si="188"/>
        <v>FOR</v>
      </c>
      <c r="O1447" t="s">
        <v>69</v>
      </c>
      <c r="P1447" t="s">
        <v>75</v>
      </c>
      <c r="Q1447">
        <v>2016</v>
      </c>
      <c r="R1447" s="4">
        <v>42506</v>
      </c>
      <c r="S1447" s="2">
        <v>42543</v>
      </c>
      <c r="T1447" s="2">
        <v>42541</v>
      </c>
      <c r="U1447" s="4">
        <v>42601</v>
      </c>
      <c r="V1447" t="s">
        <v>71</v>
      </c>
      <c r="W1447" t="str">
        <f>"               9/984"</f>
        <v xml:space="preserve">               9/984</v>
      </c>
      <c r="X1447" s="1">
        <v>1935.04</v>
      </c>
      <c r="Y1447">
        <v>0</v>
      </c>
      <c r="Z1447" s="5">
        <v>1586.1</v>
      </c>
      <c r="AA1447" s="3">
        <v>196</v>
      </c>
      <c r="AB1447" s="5">
        <v>310875.59999999998</v>
      </c>
      <c r="AC1447" s="1">
        <v>1586.1</v>
      </c>
      <c r="AD1447">
        <v>196</v>
      </c>
      <c r="AE1447" s="1">
        <v>310875.59999999998</v>
      </c>
      <c r="AF1447">
        <v>348.94</v>
      </c>
      <c r="AJ1447">
        <v>0</v>
      </c>
      <c r="AK1447">
        <v>0</v>
      </c>
      <c r="AL1447">
        <v>0</v>
      </c>
      <c r="AM1447">
        <v>0</v>
      </c>
      <c r="AN1447">
        <v>0</v>
      </c>
      <c r="AO1447">
        <v>0</v>
      </c>
      <c r="AP1447" s="2">
        <v>42831</v>
      </c>
      <c r="AQ1447" t="s">
        <v>72</v>
      </c>
      <c r="AR1447" t="s">
        <v>72</v>
      </c>
      <c r="AS1447">
        <v>715</v>
      </c>
      <c r="AT1447" s="4">
        <v>42797</v>
      </c>
      <c r="AU1447" t="s">
        <v>73</v>
      </c>
      <c r="AV1447">
        <v>715</v>
      </c>
      <c r="AW1447" s="4">
        <v>42797</v>
      </c>
      <c r="BD1447">
        <v>348.94</v>
      </c>
      <c r="BN1447" t="s">
        <v>74</v>
      </c>
    </row>
    <row r="1448" spans="1:66">
      <c r="A1448">
        <v>102698</v>
      </c>
      <c r="B1448" t="s">
        <v>345</v>
      </c>
      <c r="C1448" s="1">
        <v>43300101</v>
      </c>
      <c r="D1448" t="s">
        <v>67</v>
      </c>
      <c r="H1448" t="str">
        <f t="shared" si="189"/>
        <v>01409770631</v>
      </c>
      <c r="I1448" t="str">
        <f t="shared" si="189"/>
        <v>01409770631</v>
      </c>
      <c r="K1448" t="str">
        <f>""</f>
        <v/>
      </c>
      <c r="M1448" t="s">
        <v>68</v>
      </c>
      <c r="N1448" t="str">
        <f t="shared" si="188"/>
        <v>FOR</v>
      </c>
      <c r="O1448" t="s">
        <v>69</v>
      </c>
      <c r="P1448" t="s">
        <v>75</v>
      </c>
      <c r="Q1448">
        <v>2016</v>
      </c>
      <c r="R1448" s="4">
        <v>42521</v>
      </c>
      <c r="S1448" s="2">
        <v>42543</v>
      </c>
      <c r="T1448" s="2">
        <v>42541</v>
      </c>
      <c r="U1448" s="4">
        <v>42601</v>
      </c>
      <c r="V1448" t="s">
        <v>71</v>
      </c>
      <c r="W1448" t="str">
        <f>"              9/1050"</f>
        <v xml:space="preserve">              9/1050</v>
      </c>
      <c r="X1448">
        <v>891.15</v>
      </c>
      <c r="Y1448">
        <v>0</v>
      </c>
      <c r="Z1448" s="5">
        <v>730.45</v>
      </c>
      <c r="AA1448" s="3">
        <v>196</v>
      </c>
      <c r="AB1448" s="5">
        <v>143168.20000000001</v>
      </c>
      <c r="AC1448">
        <v>730.45</v>
      </c>
      <c r="AD1448">
        <v>196</v>
      </c>
      <c r="AE1448" s="1">
        <v>143168.20000000001</v>
      </c>
      <c r="AF1448">
        <v>160.69999999999999</v>
      </c>
      <c r="AJ1448">
        <v>0</v>
      </c>
      <c r="AK1448">
        <v>0</v>
      </c>
      <c r="AL1448">
        <v>0</v>
      </c>
      <c r="AM1448">
        <v>0</v>
      </c>
      <c r="AN1448">
        <v>0</v>
      </c>
      <c r="AO1448">
        <v>0</v>
      </c>
      <c r="AP1448" s="2">
        <v>42831</v>
      </c>
      <c r="AQ1448" t="s">
        <v>72</v>
      </c>
      <c r="AR1448" t="s">
        <v>72</v>
      </c>
      <c r="AS1448">
        <v>715</v>
      </c>
      <c r="AT1448" s="4">
        <v>42797</v>
      </c>
      <c r="AU1448" t="s">
        <v>73</v>
      </c>
      <c r="AV1448">
        <v>715</v>
      </c>
      <c r="AW1448" s="4">
        <v>42797</v>
      </c>
      <c r="BD1448">
        <v>160.69999999999999</v>
      </c>
      <c r="BN1448" t="s">
        <v>74</v>
      </c>
    </row>
    <row r="1449" spans="1:66">
      <c r="A1449">
        <v>102698</v>
      </c>
      <c r="B1449" t="s">
        <v>345</v>
      </c>
      <c r="C1449" s="1">
        <v>43300101</v>
      </c>
      <c r="D1449" t="s">
        <v>67</v>
      </c>
      <c r="H1449" t="str">
        <f t="shared" si="189"/>
        <v>01409770631</v>
      </c>
      <c r="I1449" t="str">
        <f t="shared" si="189"/>
        <v>01409770631</v>
      </c>
      <c r="K1449" t="str">
        <f>""</f>
        <v/>
      </c>
      <c r="M1449" t="s">
        <v>68</v>
      </c>
      <c r="N1449" t="str">
        <f t="shared" si="188"/>
        <v>FOR</v>
      </c>
      <c r="O1449" t="s">
        <v>69</v>
      </c>
      <c r="P1449" t="s">
        <v>75</v>
      </c>
      <c r="Q1449">
        <v>2016</v>
      </c>
      <c r="R1449" s="4">
        <v>42521</v>
      </c>
      <c r="S1449" s="2">
        <v>42543</v>
      </c>
      <c r="T1449" s="2">
        <v>42541</v>
      </c>
      <c r="U1449" s="4">
        <v>42601</v>
      </c>
      <c r="V1449" t="s">
        <v>71</v>
      </c>
      <c r="W1449" t="str">
        <f>"              9/1051"</f>
        <v xml:space="preserve">              9/1051</v>
      </c>
      <c r="X1449" s="1">
        <v>6080.48</v>
      </c>
      <c r="Y1449">
        <v>0</v>
      </c>
      <c r="Z1449" s="5">
        <v>4984</v>
      </c>
      <c r="AA1449" s="3">
        <v>196</v>
      </c>
      <c r="AB1449" s="5">
        <v>976864</v>
      </c>
      <c r="AC1449" s="1">
        <v>4984</v>
      </c>
      <c r="AD1449">
        <v>196</v>
      </c>
      <c r="AE1449" s="1">
        <v>976864</v>
      </c>
      <c r="AF1449" s="1">
        <v>1096.48</v>
      </c>
      <c r="AJ1449">
        <v>0</v>
      </c>
      <c r="AK1449">
        <v>0</v>
      </c>
      <c r="AL1449">
        <v>0</v>
      </c>
      <c r="AM1449">
        <v>0</v>
      </c>
      <c r="AN1449">
        <v>0</v>
      </c>
      <c r="AO1449">
        <v>0</v>
      </c>
      <c r="AP1449" s="2">
        <v>42831</v>
      </c>
      <c r="AQ1449" t="s">
        <v>72</v>
      </c>
      <c r="AR1449" t="s">
        <v>72</v>
      </c>
      <c r="AS1449">
        <v>715</v>
      </c>
      <c r="AT1449" s="4">
        <v>42797</v>
      </c>
      <c r="AU1449" t="s">
        <v>73</v>
      </c>
      <c r="AV1449">
        <v>715</v>
      </c>
      <c r="AW1449" s="4">
        <v>42797</v>
      </c>
      <c r="BD1449" s="1">
        <v>1096.48</v>
      </c>
      <c r="BN1449" t="s">
        <v>74</v>
      </c>
    </row>
    <row r="1450" spans="1:66">
      <c r="A1450">
        <v>102698</v>
      </c>
      <c r="B1450" t="s">
        <v>345</v>
      </c>
      <c r="C1450" s="1">
        <v>43300101</v>
      </c>
      <c r="D1450" t="s">
        <v>67</v>
      </c>
      <c r="H1450" t="str">
        <f t="shared" si="189"/>
        <v>01409770631</v>
      </c>
      <c r="I1450" t="str">
        <f t="shared" si="189"/>
        <v>01409770631</v>
      </c>
      <c r="K1450" t="str">
        <f>""</f>
        <v/>
      </c>
      <c r="M1450" t="s">
        <v>68</v>
      </c>
      <c r="N1450" t="str">
        <f t="shared" si="188"/>
        <v>FOR</v>
      </c>
      <c r="O1450" t="s">
        <v>69</v>
      </c>
      <c r="P1450" t="s">
        <v>75</v>
      </c>
      <c r="Q1450">
        <v>2016</v>
      </c>
      <c r="R1450" s="4">
        <v>42521</v>
      </c>
      <c r="S1450" s="2">
        <v>42543</v>
      </c>
      <c r="T1450" s="2">
        <v>42541</v>
      </c>
      <c r="U1450" s="4">
        <v>42601</v>
      </c>
      <c r="V1450" t="s">
        <v>71</v>
      </c>
      <c r="W1450" t="str">
        <f>"              9/1052"</f>
        <v xml:space="preserve">              9/1052</v>
      </c>
      <c r="X1450" s="1">
        <v>10965.24</v>
      </c>
      <c r="Y1450">
        <v>0</v>
      </c>
      <c r="Z1450" s="5">
        <v>8987.9</v>
      </c>
      <c r="AA1450" s="3">
        <v>196</v>
      </c>
      <c r="AB1450" s="5">
        <v>1761628.4</v>
      </c>
      <c r="AC1450" s="1">
        <v>8987.9</v>
      </c>
      <c r="AD1450">
        <v>196</v>
      </c>
      <c r="AE1450" s="1">
        <v>1761628.4</v>
      </c>
      <c r="AF1450" s="1">
        <v>1977.34</v>
      </c>
      <c r="AJ1450">
        <v>0</v>
      </c>
      <c r="AK1450">
        <v>0</v>
      </c>
      <c r="AL1450">
        <v>0</v>
      </c>
      <c r="AM1450">
        <v>0</v>
      </c>
      <c r="AN1450">
        <v>0</v>
      </c>
      <c r="AO1450">
        <v>0</v>
      </c>
      <c r="AP1450" s="2">
        <v>42831</v>
      </c>
      <c r="AQ1450" t="s">
        <v>72</v>
      </c>
      <c r="AR1450" t="s">
        <v>72</v>
      </c>
      <c r="AS1450">
        <v>715</v>
      </c>
      <c r="AT1450" s="4">
        <v>42797</v>
      </c>
      <c r="AU1450" t="s">
        <v>73</v>
      </c>
      <c r="AV1450">
        <v>715</v>
      </c>
      <c r="AW1450" s="4">
        <v>42797</v>
      </c>
      <c r="BD1450" s="1">
        <v>1977.34</v>
      </c>
      <c r="BN1450" t="s">
        <v>74</v>
      </c>
    </row>
    <row r="1451" spans="1:66">
      <c r="A1451">
        <v>102698</v>
      </c>
      <c r="B1451" t="s">
        <v>345</v>
      </c>
      <c r="C1451" s="1">
        <v>43300101</v>
      </c>
      <c r="D1451" t="s">
        <v>67</v>
      </c>
      <c r="H1451" t="str">
        <f t="shared" si="189"/>
        <v>01409770631</v>
      </c>
      <c r="I1451" t="str">
        <f t="shared" si="189"/>
        <v>01409770631</v>
      </c>
      <c r="K1451" t="str">
        <f>""</f>
        <v/>
      </c>
      <c r="M1451" t="s">
        <v>68</v>
      </c>
      <c r="N1451" t="str">
        <f t="shared" si="188"/>
        <v>FOR</v>
      </c>
      <c r="O1451" t="s">
        <v>69</v>
      </c>
      <c r="P1451" t="s">
        <v>75</v>
      </c>
      <c r="Q1451">
        <v>2016</v>
      </c>
      <c r="R1451" s="4">
        <v>42521</v>
      </c>
      <c r="S1451" s="2">
        <v>42543</v>
      </c>
      <c r="T1451" s="2">
        <v>42541</v>
      </c>
      <c r="U1451" s="4">
        <v>42601</v>
      </c>
      <c r="V1451" t="s">
        <v>71</v>
      </c>
      <c r="W1451" t="str">
        <f>"              9/1053"</f>
        <v xml:space="preserve">              9/1053</v>
      </c>
      <c r="X1451" s="1">
        <v>2029.87</v>
      </c>
      <c r="Y1451">
        <v>0</v>
      </c>
      <c r="Z1451" s="5">
        <v>1663.83</v>
      </c>
      <c r="AA1451" s="3">
        <v>196</v>
      </c>
      <c r="AB1451" s="5">
        <v>326110.68</v>
      </c>
      <c r="AC1451" s="1">
        <v>1663.83</v>
      </c>
      <c r="AD1451">
        <v>196</v>
      </c>
      <c r="AE1451" s="1">
        <v>326110.68</v>
      </c>
      <c r="AF1451">
        <v>366.04</v>
      </c>
      <c r="AJ1451">
        <v>0</v>
      </c>
      <c r="AK1451">
        <v>0</v>
      </c>
      <c r="AL1451">
        <v>0</v>
      </c>
      <c r="AM1451">
        <v>0</v>
      </c>
      <c r="AN1451">
        <v>0</v>
      </c>
      <c r="AO1451">
        <v>0</v>
      </c>
      <c r="AP1451" s="2">
        <v>42831</v>
      </c>
      <c r="AQ1451" t="s">
        <v>72</v>
      </c>
      <c r="AR1451" t="s">
        <v>72</v>
      </c>
      <c r="AS1451">
        <v>715</v>
      </c>
      <c r="AT1451" s="4">
        <v>42797</v>
      </c>
      <c r="AU1451" t="s">
        <v>73</v>
      </c>
      <c r="AV1451">
        <v>715</v>
      </c>
      <c r="AW1451" s="4">
        <v>42797</v>
      </c>
      <c r="BD1451">
        <v>366.04</v>
      </c>
      <c r="BN1451" t="s">
        <v>74</v>
      </c>
    </row>
    <row r="1452" spans="1:66">
      <c r="A1452">
        <v>102698</v>
      </c>
      <c r="B1452" t="s">
        <v>345</v>
      </c>
      <c r="C1452" s="1">
        <v>43300101</v>
      </c>
      <c r="D1452" t="s">
        <v>67</v>
      </c>
      <c r="H1452" t="str">
        <f t="shared" si="189"/>
        <v>01409770631</v>
      </c>
      <c r="I1452" t="str">
        <f t="shared" si="189"/>
        <v>01409770631</v>
      </c>
      <c r="K1452" t="str">
        <f>""</f>
        <v/>
      </c>
      <c r="M1452" t="s">
        <v>68</v>
      </c>
      <c r="N1452" t="str">
        <f t="shared" si="188"/>
        <v>FOR</v>
      </c>
      <c r="O1452" t="s">
        <v>69</v>
      </c>
      <c r="P1452" t="s">
        <v>75</v>
      </c>
      <c r="Q1452">
        <v>2016</v>
      </c>
      <c r="R1452" s="4">
        <v>42521</v>
      </c>
      <c r="S1452" s="2">
        <v>42543</v>
      </c>
      <c r="T1452" s="2">
        <v>42541</v>
      </c>
      <c r="U1452" s="4">
        <v>42601</v>
      </c>
      <c r="V1452" t="s">
        <v>71</v>
      </c>
      <c r="W1452" t="str">
        <f>"              9/1112"</f>
        <v xml:space="preserve">              9/1112</v>
      </c>
      <c r="X1452" s="1">
        <v>2706.5</v>
      </c>
      <c r="Y1452">
        <v>0</v>
      </c>
      <c r="Z1452" s="5">
        <v>2218.44</v>
      </c>
      <c r="AA1452" s="3">
        <v>196</v>
      </c>
      <c r="AB1452" s="5">
        <v>434814.24</v>
      </c>
      <c r="AC1452" s="1">
        <v>2218.44</v>
      </c>
      <c r="AD1452">
        <v>196</v>
      </c>
      <c r="AE1452" s="1">
        <v>434814.24</v>
      </c>
      <c r="AF1452">
        <v>488.06</v>
      </c>
      <c r="AJ1452">
        <v>0</v>
      </c>
      <c r="AK1452">
        <v>0</v>
      </c>
      <c r="AL1452">
        <v>0</v>
      </c>
      <c r="AM1452">
        <v>0</v>
      </c>
      <c r="AN1452">
        <v>0</v>
      </c>
      <c r="AO1452">
        <v>0</v>
      </c>
      <c r="AP1452" s="2">
        <v>42831</v>
      </c>
      <c r="AQ1452" t="s">
        <v>72</v>
      </c>
      <c r="AR1452" t="s">
        <v>72</v>
      </c>
      <c r="AS1452">
        <v>715</v>
      </c>
      <c r="AT1452" s="4">
        <v>42797</v>
      </c>
      <c r="AU1452" t="s">
        <v>73</v>
      </c>
      <c r="AV1452">
        <v>715</v>
      </c>
      <c r="AW1452" s="4">
        <v>42797</v>
      </c>
      <c r="BD1452">
        <v>488.06</v>
      </c>
      <c r="BN1452" t="s">
        <v>74</v>
      </c>
    </row>
    <row r="1453" spans="1:66">
      <c r="A1453">
        <v>102698</v>
      </c>
      <c r="B1453" t="s">
        <v>345</v>
      </c>
      <c r="C1453" s="1">
        <v>43300101</v>
      </c>
      <c r="D1453" t="s">
        <v>67</v>
      </c>
      <c r="H1453" t="str">
        <f t="shared" si="189"/>
        <v>01409770631</v>
      </c>
      <c r="I1453" t="str">
        <f t="shared" si="189"/>
        <v>01409770631</v>
      </c>
      <c r="K1453" t="str">
        <f>""</f>
        <v/>
      </c>
      <c r="M1453" t="s">
        <v>68</v>
      </c>
      <c r="N1453" t="str">
        <f t="shared" si="188"/>
        <v>FOR</v>
      </c>
      <c r="O1453" t="s">
        <v>69</v>
      </c>
      <c r="P1453" t="s">
        <v>75</v>
      </c>
      <c r="Q1453">
        <v>2016</v>
      </c>
      <c r="R1453" s="4">
        <v>42521</v>
      </c>
      <c r="S1453" s="2">
        <v>42543</v>
      </c>
      <c r="T1453" s="2">
        <v>42541</v>
      </c>
      <c r="U1453" s="4">
        <v>42601</v>
      </c>
      <c r="V1453" t="s">
        <v>71</v>
      </c>
      <c r="W1453" t="str">
        <f>"              9/1113"</f>
        <v xml:space="preserve">              9/1113</v>
      </c>
      <c r="X1453" s="1">
        <v>1353.25</v>
      </c>
      <c r="Y1453">
        <v>0</v>
      </c>
      <c r="Z1453" s="5">
        <v>1109.22</v>
      </c>
      <c r="AA1453" s="3">
        <v>196</v>
      </c>
      <c r="AB1453" s="5">
        <v>217407.12</v>
      </c>
      <c r="AC1453" s="1">
        <v>1109.22</v>
      </c>
      <c r="AD1453">
        <v>196</v>
      </c>
      <c r="AE1453" s="1">
        <v>217407.12</v>
      </c>
      <c r="AF1453">
        <v>244.03</v>
      </c>
      <c r="AJ1453">
        <v>0</v>
      </c>
      <c r="AK1453">
        <v>0</v>
      </c>
      <c r="AL1453">
        <v>0</v>
      </c>
      <c r="AM1453">
        <v>0</v>
      </c>
      <c r="AN1453">
        <v>0</v>
      </c>
      <c r="AO1453">
        <v>0</v>
      </c>
      <c r="AP1453" s="2">
        <v>42831</v>
      </c>
      <c r="AQ1453" t="s">
        <v>72</v>
      </c>
      <c r="AR1453" t="s">
        <v>72</v>
      </c>
      <c r="AS1453">
        <v>715</v>
      </c>
      <c r="AT1453" s="4">
        <v>42797</v>
      </c>
      <c r="AU1453" t="s">
        <v>73</v>
      </c>
      <c r="AV1453">
        <v>715</v>
      </c>
      <c r="AW1453" s="4">
        <v>42797</v>
      </c>
      <c r="BD1453">
        <v>244.03</v>
      </c>
      <c r="BN1453" t="s">
        <v>74</v>
      </c>
    </row>
    <row r="1454" spans="1:66">
      <c r="A1454">
        <v>102806</v>
      </c>
      <c r="B1454" t="s">
        <v>346</v>
      </c>
      <c r="C1454" s="1">
        <v>43300101</v>
      </c>
      <c r="D1454" t="s">
        <v>67</v>
      </c>
      <c r="H1454" t="str">
        <f t="shared" ref="H1454:I1457" si="190">"02067940367"</f>
        <v>02067940367</v>
      </c>
      <c r="I1454" t="str">
        <f t="shared" si="190"/>
        <v>02067940367</v>
      </c>
      <c r="K1454" t="str">
        <f>""</f>
        <v/>
      </c>
      <c r="M1454" t="s">
        <v>68</v>
      </c>
      <c r="N1454" t="str">
        <f t="shared" si="188"/>
        <v>FOR</v>
      </c>
      <c r="O1454" t="s">
        <v>69</v>
      </c>
      <c r="P1454" t="s">
        <v>75</v>
      </c>
      <c r="Q1454">
        <v>2016</v>
      </c>
      <c r="R1454" s="4">
        <v>42445</v>
      </c>
      <c r="S1454" s="2">
        <v>42446</v>
      </c>
      <c r="T1454" s="2">
        <v>42445</v>
      </c>
      <c r="U1454" s="4">
        <v>42505</v>
      </c>
      <c r="V1454" t="s">
        <v>71</v>
      </c>
      <c r="W1454" t="str">
        <f>"          5304107970"</f>
        <v xml:space="preserve">          5304107970</v>
      </c>
      <c r="X1454" s="1">
        <v>1887.39</v>
      </c>
      <c r="Y1454">
        <v>0</v>
      </c>
      <c r="Z1454" s="5">
        <v>1814.8</v>
      </c>
      <c r="AA1454" s="3">
        <v>263</v>
      </c>
      <c r="AB1454" s="5">
        <v>477292.4</v>
      </c>
      <c r="AC1454" s="1">
        <v>1814.8</v>
      </c>
      <c r="AD1454">
        <v>263</v>
      </c>
      <c r="AE1454" s="1">
        <v>477292.4</v>
      </c>
      <c r="AF1454">
        <v>0</v>
      </c>
      <c r="AJ1454">
        <v>0</v>
      </c>
      <c r="AK1454">
        <v>0</v>
      </c>
      <c r="AL1454">
        <v>0</v>
      </c>
      <c r="AM1454">
        <v>0</v>
      </c>
      <c r="AN1454">
        <v>0</v>
      </c>
      <c r="AO1454">
        <v>0</v>
      </c>
      <c r="AP1454" s="2">
        <v>42831</v>
      </c>
      <c r="AQ1454" t="s">
        <v>72</v>
      </c>
      <c r="AR1454" t="s">
        <v>72</v>
      </c>
      <c r="AS1454">
        <v>277</v>
      </c>
      <c r="AT1454" s="4">
        <v>42768</v>
      </c>
      <c r="AU1454" t="s">
        <v>73</v>
      </c>
      <c r="AV1454">
        <v>277</v>
      </c>
      <c r="AW1454" s="4">
        <v>42768</v>
      </c>
      <c r="BD1454">
        <v>0</v>
      </c>
      <c r="BN1454" t="s">
        <v>74</v>
      </c>
    </row>
    <row r="1455" spans="1:66">
      <c r="A1455">
        <v>102806</v>
      </c>
      <c r="B1455" t="s">
        <v>346</v>
      </c>
      <c r="C1455" s="1">
        <v>43300101</v>
      </c>
      <c r="D1455" t="s">
        <v>67</v>
      </c>
      <c r="H1455" t="str">
        <f t="shared" si="190"/>
        <v>02067940367</v>
      </c>
      <c r="I1455" t="str">
        <f t="shared" si="190"/>
        <v>02067940367</v>
      </c>
      <c r="K1455" t="str">
        <f>""</f>
        <v/>
      </c>
      <c r="M1455" t="s">
        <v>68</v>
      </c>
      <c r="N1455" t="str">
        <f t="shared" si="188"/>
        <v>FOR</v>
      </c>
      <c r="O1455" t="s">
        <v>69</v>
      </c>
      <c r="P1455" t="s">
        <v>75</v>
      </c>
      <c r="Q1455">
        <v>2016</v>
      </c>
      <c r="R1455" s="4">
        <v>42474</v>
      </c>
      <c r="S1455" s="2">
        <v>42478</v>
      </c>
      <c r="T1455" s="2">
        <v>42474</v>
      </c>
      <c r="U1455" s="4">
        <v>42534</v>
      </c>
      <c r="V1455" t="s">
        <v>71</v>
      </c>
      <c r="W1455" t="str">
        <f>"          5304108183"</f>
        <v xml:space="preserve">          5304108183</v>
      </c>
      <c r="X1455" s="1">
        <v>1887.39</v>
      </c>
      <c r="Y1455">
        <v>0</v>
      </c>
      <c r="Z1455" s="5">
        <v>1814.8</v>
      </c>
      <c r="AA1455" s="3">
        <v>245</v>
      </c>
      <c r="AB1455" s="5">
        <v>444626</v>
      </c>
      <c r="AC1455" s="1">
        <v>1814.8</v>
      </c>
      <c r="AD1455">
        <v>245</v>
      </c>
      <c r="AE1455" s="1">
        <v>444626</v>
      </c>
      <c r="AF1455">
        <v>0</v>
      </c>
      <c r="AJ1455">
        <v>0</v>
      </c>
      <c r="AK1455">
        <v>0</v>
      </c>
      <c r="AL1455">
        <v>0</v>
      </c>
      <c r="AM1455">
        <v>0</v>
      </c>
      <c r="AN1455">
        <v>0</v>
      </c>
      <c r="AO1455">
        <v>0</v>
      </c>
      <c r="AP1455" s="2">
        <v>42831</v>
      </c>
      <c r="AQ1455" t="s">
        <v>72</v>
      </c>
      <c r="AR1455" t="s">
        <v>72</v>
      </c>
      <c r="AS1455">
        <v>421</v>
      </c>
      <c r="AT1455" s="4">
        <v>42779</v>
      </c>
      <c r="AU1455" t="s">
        <v>73</v>
      </c>
      <c r="AV1455">
        <v>421</v>
      </c>
      <c r="AW1455" s="4">
        <v>42779</v>
      </c>
      <c r="BD1455">
        <v>0</v>
      </c>
      <c r="BN1455" t="s">
        <v>74</v>
      </c>
    </row>
    <row r="1456" spans="1:66">
      <c r="A1456">
        <v>102806</v>
      </c>
      <c r="B1456" t="s">
        <v>346</v>
      </c>
      <c r="C1456" s="1">
        <v>43300101</v>
      </c>
      <c r="D1456" t="s">
        <v>67</v>
      </c>
      <c r="H1456" t="str">
        <f t="shared" si="190"/>
        <v>02067940367</v>
      </c>
      <c r="I1456" t="str">
        <f t="shared" si="190"/>
        <v>02067940367</v>
      </c>
      <c r="K1456" t="str">
        <f>""</f>
        <v/>
      </c>
      <c r="M1456" t="s">
        <v>68</v>
      </c>
      <c r="N1456" t="str">
        <f t="shared" si="188"/>
        <v>FOR</v>
      </c>
      <c r="O1456" t="s">
        <v>69</v>
      </c>
      <c r="P1456" t="s">
        <v>75</v>
      </c>
      <c r="Q1456">
        <v>2016</v>
      </c>
      <c r="R1456" s="4">
        <v>42507</v>
      </c>
      <c r="S1456" s="2">
        <v>42514</v>
      </c>
      <c r="T1456" s="2">
        <v>42507</v>
      </c>
      <c r="U1456" s="4">
        <v>42567</v>
      </c>
      <c r="V1456" t="s">
        <v>71</v>
      </c>
      <c r="W1456" t="str">
        <f>"          5304108402"</f>
        <v xml:space="preserve">          5304108402</v>
      </c>
      <c r="X1456">
        <v>871.1</v>
      </c>
      <c r="Y1456">
        <v>0</v>
      </c>
      <c r="Z1456" s="5">
        <v>837.6</v>
      </c>
      <c r="AA1456" s="3">
        <v>228</v>
      </c>
      <c r="AB1456" s="5">
        <v>190972.79999999999</v>
      </c>
      <c r="AC1456">
        <v>837.6</v>
      </c>
      <c r="AD1456">
        <v>228</v>
      </c>
      <c r="AE1456" s="1">
        <v>190972.79999999999</v>
      </c>
      <c r="AF1456">
        <v>33.5</v>
      </c>
      <c r="AJ1456">
        <v>0</v>
      </c>
      <c r="AK1456">
        <v>0</v>
      </c>
      <c r="AL1456">
        <v>0</v>
      </c>
      <c r="AM1456">
        <v>0</v>
      </c>
      <c r="AN1456">
        <v>0</v>
      </c>
      <c r="AO1456">
        <v>0</v>
      </c>
      <c r="AP1456" s="2">
        <v>42831</v>
      </c>
      <c r="AQ1456" t="s">
        <v>72</v>
      </c>
      <c r="AR1456" t="s">
        <v>72</v>
      </c>
      <c r="AS1456">
        <v>641</v>
      </c>
      <c r="AT1456" s="4">
        <v>42795</v>
      </c>
      <c r="AU1456" t="s">
        <v>73</v>
      </c>
      <c r="AV1456">
        <v>641</v>
      </c>
      <c r="AW1456" s="4">
        <v>42795</v>
      </c>
      <c r="BD1456">
        <v>33.5</v>
      </c>
      <c r="BN1456" t="s">
        <v>74</v>
      </c>
    </row>
    <row r="1457" spans="1:66">
      <c r="A1457">
        <v>102806</v>
      </c>
      <c r="B1457" t="s">
        <v>346</v>
      </c>
      <c r="C1457" s="1">
        <v>43300101</v>
      </c>
      <c r="D1457" t="s">
        <v>67</v>
      </c>
      <c r="H1457" t="str">
        <f t="shared" si="190"/>
        <v>02067940367</v>
      </c>
      <c r="I1457" t="str">
        <f t="shared" si="190"/>
        <v>02067940367</v>
      </c>
      <c r="K1457" t="str">
        <f>""</f>
        <v/>
      </c>
      <c r="M1457" t="s">
        <v>68</v>
      </c>
      <c r="N1457" t="str">
        <f t="shared" si="188"/>
        <v>FOR</v>
      </c>
      <c r="O1457" t="s">
        <v>69</v>
      </c>
      <c r="P1457" t="s">
        <v>75</v>
      </c>
      <c r="Q1457">
        <v>2016</v>
      </c>
      <c r="R1457" s="4">
        <v>42534</v>
      </c>
      <c r="S1457" s="2">
        <v>42535</v>
      </c>
      <c r="T1457" s="2">
        <v>42534</v>
      </c>
      <c r="U1457" s="4">
        <v>42594</v>
      </c>
      <c r="V1457" t="s">
        <v>71</v>
      </c>
      <c r="W1457" t="str">
        <f>"          5304108568"</f>
        <v xml:space="preserve">          5304108568</v>
      </c>
      <c r="X1457">
        <v>725.92</v>
      </c>
      <c r="Y1457">
        <v>0</v>
      </c>
      <c r="Z1457" s="5">
        <v>698</v>
      </c>
      <c r="AA1457" s="3">
        <v>201</v>
      </c>
      <c r="AB1457" s="5">
        <v>140298</v>
      </c>
      <c r="AC1457">
        <v>698</v>
      </c>
      <c r="AD1457">
        <v>201</v>
      </c>
      <c r="AE1457" s="1">
        <v>140298</v>
      </c>
      <c r="AF1457">
        <v>27.92</v>
      </c>
      <c r="AJ1457">
        <v>0</v>
      </c>
      <c r="AK1457">
        <v>0</v>
      </c>
      <c r="AL1457">
        <v>0</v>
      </c>
      <c r="AM1457">
        <v>0</v>
      </c>
      <c r="AN1457">
        <v>0</v>
      </c>
      <c r="AO1457">
        <v>0</v>
      </c>
      <c r="AP1457" s="2">
        <v>42831</v>
      </c>
      <c r="AQ1457" t="s">
        <v>72</v>
      </c>
      <c r="AR1457" t="s">
        <v>72</v>
      </c>
      <c r="AS1457">
        <v>641</v>
      </c>
      <c r="AT1457" s="4">
        <v>42795</v>
      </c>
      <c r="AU1457" t="s">
        <v>73</v>
      </c>
      <c r="AV1457">
        <v>641</v>
      </c>
      <c r="AW1457" s="4">
        <v>42795</v>
      </c>
      <c r="BD1457">
        <v>27.92</v>
      </c>
      <c r="BN1457" t="s">
        <v>74</v>
      </c>
    </row>
    <row r="1458" spans="1:66">
      <c r="A1458">
        <v>102814</v>
      </c>
      <c r="B1458" t="s">
        <v>347</v>
      </c>
      <c r="C1458" s="1">
        <v>43300101</v>
      </c>
      <c r="D1458" t="s">
        <v>67</v>
      </c>
      <c r="H1458" t="str">
        <f>"MTRGNN58R17A783H"</f>
        <v>MTRGNN58R17A783H</v>
      </c>
      <c r="I1458" t="str">
        <f>"01248280628"</f>
        <v>01248280628</v>
      </c>
      <c r="K1458" t="str">
        <f>""</f>
        <v/>
      </c>
      <c r="M1458" t="s">
        <v>68</v>
      </c>
      <c r="N1458" t="str">
        <f t="shared" si="188"/>
        <v>FOR</v>
      </c>
      <c r="O1458" t="s">
        <v>69</v>
      </c>
      <c r="P1458" t="s">
        <v>75</v>
      </c>
      <c r="Q1458">
        <v>2016</v>
      </c>
      <c r="R1458" s="4">
        <v>42551</v>
      </c>
      <c r="S1458" s="2">
        <v>42552</v>
      </c>
      <c r="T1458" s="2">
        <v>42551</v>
      </c>
      <c r="U1458" s="4">
        <v>42611</v>
      </c>
      <c r="V1458" t="s">
        <v>71</v>
      </c>
      <c r="W1458" t="str">
        <f>"         FATTPA 5_16"</f>
        <v xml:space="preserve">         FATTPA 5_16</v>
      </c>
      <c r="X1458">
        <v>268.39999999999998</v>
      </c>
      <c r="Y1458">
        <v>0</v>
      </c>
      <c r="Z1458" s="5">
        <v>220</v>
      </c>
      <c r="AA1458" s="3">
        <v>161</v>
      </c>
      <c r="AB1458" s="5">
        <v>35420</v>
      </c>
      <c r="AC1458">
        <v>220</v>
      </c>
      <c r="AD1458">
        <v>161</v>
      </c>
      <c r="AE1458" s="1">
        <v>35420</v>
      </c>
      <c r="AF1458">
        <v>48.4</v>
      </c>
      <c r="AJ1458">
        <v>0</v>
      </c>
      <c r="AK1458">
        <v>0</v>
      </c>
      <c r="AL1458">
        <v>0</v>
      </c>
      <c r="AM1458">
        <v>0</v>
      </c>
      <c r="AN1458">
        <v>0</v>
      </c>
      <c r="AO1458">
        <v>0</v>
      </c>
      <c r="AP1458" s="2">
        <v>42831</v>
      </c>
      <c r="AQ1458" t="s">
        <v>72</v>
      </c>
      <c r="AR1458" t="s">
        <v>72</v>
      </c>
      <c r="AS1458">
        <v>292</v>
      </c>
      <c r="AT1458" s="4">
        <v>42772</v>
      </c>
      <c r="AU1458" t="s">
        <v>73</v>
      </c>
      <c r="AV1458">
        <v>292</v>
      </c>
      <c r="AW1458" s="4">
        <v>42772</v>
      </c>
      <c r="BD1458">
        <v>48.4</v>
      </c>
      <c r="BN1458" t="s">
        <v>74</v>
      </c>
    </row>
    <row r="1459" spans="1:66">
      <c r="A1459">
        <v>102814</v>
      </c>
      <c r="B1459" t="s">
        <v>347</v>
      </c>
      <c r="C1459" s="1">
        <v>43300101</v>
      </c>
      <c r="D1459" t="s">
        <v>67</v>
      </c>
      <c r="H1459" t="str">
        <f>"MTRGNN58R17A783H"</f>
        <v>MTRGNN58R17A783H</v>
      </c>
      <c r="I1459" t="str">
        <f>"01248280628"</f>
        <v>01248280628</v>
      </c>
      <c r="K1459" t="str">
        <f>""</f>
        <v/>
      </c>
      <c r="M1459" t="s">
        <v>68</v>
      </c>
      <c r="N1459" t="str">
        <f t="shared" si="188"/>
        <v>FOR</v>
      </c>
      <c r="O1459" t="s">
        <v>69</v>
      </c>
      <c r="P1459" t="s">
        <v>75</v>
      </c>
      <c r="Q1459">
        <v>2016</v>
      </c>
      <c r="R1459" s="4">
        <v>42718</v>
      </c>
      <c r="S1459" s="2">
        <v>42720</v>
      </c>
      <c r="T1459" s="2">
        <v>42718</v>
      </c>
      <c r="U1459" s="4">
        <v>42778</v>
      </c>
      <c r="V1459" t="s">
        <v>71</v>
      </c>
      <c r="W1459" t="str">
        <f>"         FATTPA 7_16"</f>
        <v xml:space="preserve">         FATTPA 7_16</v>
      </c>
      <c r="X1459">
        <v>976.01</v>
      </c>
      <c r="Y1459">
        <v>0</v>
      </c>
      <c r="Z1459" s="5">
        <v>800.01</v>
      </c>
      <c r="AA1459" s="3">
        <v>-6</v>
      </c>
      <c r="AB1459" s="5">
        <v>-4800.0600000000004</v>
      </c>
      <c r="AC1459">
        <v>800.01</v>
      </c>
      <c r="AD1459">
        <v>-6</v>
      </c>
      <c r="AE1459" s="1">
        <v>-4800.0600000000004</v>
      </c>
      <c r="AF1459">
        <v>176</v>
      </c>
      <c r="AJ1459">
        <v>0</v>
      </c>
      <c r="AK1459">
        <v>0</v>
      </c>
      <c r="AL1459">
        <v>0</v>
      </c>
      <c r="AM1459">
        <v>0</v>
      </c>
      <c r="AN1459">
        <v>0</v>
      </c>
      <c r="AO1459">
        <v>0</v>
      </c>
      <c r="AP1459" s="2">
        <v>42831</v>
      </c>
      <c r="AQ1459" t="s">
        <v>72</v>
      </c>
      <c r="AR1459" t="s">
        <v>72</v>
      </c>
      <c r="AS1459">
        <v>292</v>
      </c>
      <c r="AT1459" s="4">
        <v>42772</v>
      </c>
      <c r="AV1459">
        <v>292</v>
      </c>
      <c r="AW1459" s="4">
        <v>42772</v>
      </c>
      <c r="AY1459">
        <v>176</v>
      </c>
      <c r="BD1459">
        <v>0</v>
      </c>
      <c r="BN1459" t="s">
        <v>74</v>
      </c>
    </row>
    <row r="1460" spans="1:66">
      <c r="A1460">
        <v>102819</v>
      </c>
      <c r="B1460" t="s">
        <v>348</v>
      </c>
      <c r="C1460" s="1">
        <v>43300101</v>
      </c>
      <c r="D1460" t="s">
        <v>67</v>
      </c>
      <c r="H1460" t="str">
        <f t="shared" ref="H1460:I1462" si="191">"06754140157"</f>
        <v>06754140157</v>
      </c>
      <c r="I1460" t="str">
        <f t="shared" si="191"/>
        <v>06754140157</v>
      </c>
      <c r="K1460" t="str">
        <f>""</f>
        <v/>
      </c>
      <c r="M1460" t="s">
        <v>68</v>
      </c>
      <c r="N1460" t="str">
        <f t="shared" si="188"/>
        <v>FOR</v>
      </c>
      <c r="O1460" t="s">
        <v>69</v>
      </c>
      <c r="P1460" t="s">
        <v>75</v>
      </c>
      <c r="Q1460">
        <v>2016</v>
      </c>
      <c r="R1460" s="4">
        <v>42520</v>
      </c>
      <c r="S1460" s="2">
        <v>42530</v>
      </c>
      <c r="T1460" s="2">
        <v>42523</v>
      </c>
      <c r="U1460" s="4">
        <v>42583</v>
      </c>
      <c r="V1460" t="s">
        <v>71</v>
      </c>
      <c r="W1460" t="str">
        <f>"                5678"</f>
        <v xml:space="preserve">                5678</v>
      </c>
      <c r="X1460" s="1">
        <v>1825.12</v>
      </c>
      <c r="Y1460">
        <v>0</v>
      </c>
      <c r="Z1460" s="5">
        <v>1496</v>
      </c>
      <c r="AA1460" s="3">
        <v>185</v>
      </c>
      <c r="AB1460" s="5">
        <v>276760</v>
      </c>
      <c r="AC1460" s="1">
        <v>1496</v>
      </c>
      <c r="AD1460">
        <v>185</v>
      </c>
      <c r="AE1460" s="1">
        <v>276760</v>
      </c>
      <c r="AF1460">
        <v>0</v>
      </c>
      <c r="AJ1460">
        <v>0</v>
      </c>
      <c r="AK1460">
        <v>0</v>
      </c>
      <c r="AL1460">
        <v>0</v>
      </c>
      <c r="AM1460">
        <v>0</v>
      </c>
      <c r="AN1460">
        <v>0</v>
      </c>
      <c r="AO1460">
        <v>0</v>
      </c>
      <c r="AP1460" s="2">
        <v>42831</v>
      </c>
      <c r="AQ1460" t="s">
        <v>72</v>
      </c>
      <c r="AR1460" t="s">
        <v>72</v>
      </c>
      <c r="AS1460">
        <v>232</v>
      </c>
      <c r="AT1460" s="4">
        <v>42768</v>
      </c>
      <c r="AU1460" t="s">
        <v>73</v>
      </c>
      <c r="AV1460">
        <v>232</v>
      </c>
      <c r="AW1460" s="4">
        <v>42768</v>
      </c>
      <c r="BD1460">
        <v>0</v>
      </c>
      <c r="BN1460" t="s">
        <v>74</v>
      </c>
    </row>
    <row r="1461" spans="1:66">
      <c r="A1461">
        <v>102819</v>
      </c>
      <c r="B1461" t="s">
        <v>348</v>
      </c>
      <c r="C1461" s="1">
        <v>43300101</v>
      </c>
      <c r="D1461" t="s">
        <v>67</v>
      </c>
      <c r="H1461" t="str">
        <f t="shared" si="191"/>
        <v>06754140157</v>
      </c>
      <c r="I1461" t="str">
        <f t="shared" si="191"/>
        <v>06754140157</v>
      </c>
      <c r="K1461" t="str">
        <f>""</f>
        <v/>
      </c>
      <c r="M1461" t="s">
        <v>68</v>
      </c>
      <c r="N1461" t="str">
        <f t="shared" si="188"/>
        <v>FOR</v>
      </c>
      <c r="O1461" t="s">
        <v>69</v>
      </c>
      <c r="P1461" t="s">
        <v>75</v>
      </c>
      <c r="Q1461">
        <v>2016</v>
      </c>
      <c r="R1461" s="4">
        <v>42583</v>
      </c>
      <c r="S1461" s="2">
        <v>42587</v>
      </c>
      <c r="T1461" s="2">
        <v>42586</v>
      </c>
      <c r="U1461" s="4">
        <v>42646</v>
      </c>
      <c r="V1461" t="s">
        <v>71</v>
      </c>
      <c r="W1461" t="str">
        <f>"                8305"</f>
        <v xml:space="preserve">                8305</v>
      </c>
      <c r="X1461" s="1">
        <v>2113.65</v>
      </c>
      <c r="Y1461">
        <v>0</v>
      </c>
      <c r="Z1461" s="5">
        <v>1732.5</v>
      </c>
      <c r="AA1461" s="3">
        <v>122</v>
      </c>
      <c r="AB1461" s="5">
        <v>211365</v>
      </c>
      <c r="AC1461" s="1">
        <v>1732.5</v>
      </c>
      <c r="AD1461">
        <v>122</v>
      </c>
      <c r="AE1461" s="1">
        <v>211365</v>
      </c>
      <c r="AF1461">
        <v>0</v>
      </c>
      <c r="AJ1461">
        <v>0</v>
      </c>
      <c r="AK1461">
        <v>0</v>
      </c>
      <c r="AL1461">
        <v>0</v>
      </c>
      <c r="AM1461">
        <v>0</v>
      </c>
      <c r="AN1461">
        <v>0</v>
      </c>
      <c r="AO1461">
        <v>0</v>
      </c>
      <c r="AP1461" s="2">
        <v>42831</v>
      </c>
      <c r="AQ1461" t="s">
        <v>72</v>
      </c>
      <c r="AR1461" t="s">
        <v>72</v>
      </c>
      <c r="AS1461">
        <v>232</v>
      </c>
      <c r="AT1461" s="4">
        <v>42768</v>
      </c>
      <c r="AU1461" t="s">
        <v>73</v>
      </c>
      <c r="AV1461">
        <v>232</v>
      </c>
      <c r="AW1461" s="4">
        <v>42768</v>
      </c>
      <c r="BD1461">
        <v>0</v>
      </c>
      <c r="BN1461" t="s">
        <v>74</v>
      </c>
    </row>
    <row r="1462" spans="1:66">
      <c r="A1462">
        <v>102819</v>
      </c>
      <c r="B1462" t="s">
        <v>348</v>
      </c>
      <c r="C1462" s="1">
        <v>43300101</v>
      </c>
      <c r="D1462" t="s">
        <v>67</v>
      </c>
      <c r="H1462" t="str">
        <f t="shared" si="191"/>
        <v>06754140157</v>
      </c>
      <c r="I1462" t="str">
        <f t="shared" si="191"/>
        <v>06754140157</v>
      </c>
      <c r="K1462" t="str">
        <f>""</f>
        <v/>
      </c>
      <c r="M1462" t="s">
        <v>68</v>
      </c>
      <c r="N1462" t="str">
        <f t="shared" si="188"/>
        <v>FOR</v>
      </c>
      <c r="O1462" t="s">
        <v>69</v>
      </c>
      <c r="P1462" t="s">
        <v>75</v>
      </c>
      <c r="Q1462">
        <v>2016</v>
      </c>
      <c r="R1462" s="4">
        <v>42646</v>
      </c>
      <c r="S1462" s="2">
        <v>42654</v>
      </c>
      <c r="T1462" s="2">
        <v>42649</v>
      </c>
      <c r="U1462" s="4">
        <v>42709</v>
      </c>
      <c r="V1462" t="s">
        <v>71</v>
      </c>
      <c r="W1462" t="str">
        <f>"               10145"</f>
        <v xml:space="preserve">               10145</v>
      </c>
      <c r="X1462" s="1">
        <v>1552.57</v>
      </c>
      <c r="Y1462">
        <v>0</v>
      </c>
      <c r="Z1462" s="5">
        <v>1272.5999999999999</v>
      </c>
      <c r="AA1462" s="3">
        <v>59</v>
      </c>
      <c r="AB1462" s="5">
        <v>75083.399999999994</v>
      </c>
      <c r="AC1462" s="1">
        <v>1272.5999999999999</v>
      </c>
      <c r="AD1462">
        <v>59</v>
      </c>
      <c r="AE1462" s="1">
        <v>75083.399999999994</v>
      </c>
      <c r="AF1462">
        <v>0</v>
      </c>
      <c r="AJ1462">
        <v>0</v>
      </c>
      <c r="AK1462">
        <v>0</v>
      </c>
      <c r="AL1462">
        <v>0</v>
      </c>
      <c r="AM1462">
        <v>0</v>
      </c>
      <c r="AN1462">
        <v>0</v>
      </c>
      <c r="AO1462">
        <v>0</v>
      </c>
      <c r="AP1462" s="2">
        <v>42831</v>
      </c>
      <c r="AQ1462" t="s">
        <v>72</v>
      </c>
      <c r="AR1462" t="s">
        <v>72</v>
      </c>
      <c r="AS1462">
        <v>232</v>
      </c>
      <c r="AT1462" s="4">
        <v>42768</v>
      </c>
      <c r="AU1462" t="s">
        <v>73</v>
      </c>
      <c r="AV1462">
        <v>232</v>
      </c>
      <c r="AW1462" s="4">
        <v>42768</v>
      </c>
      <c r="BD1462">
        <v>0</v>
      </c>
      <c r="BN1462" t="s">
        <v>74</v>
      </c>
    </row>
    <row r="1463" spans="1:66">
      <c r="A1463">
        <v>102844</v>
      </c>
      <c r="B1463" t="s">
        <v>349</v>
      </c>
      <c r="C1463" s="1">
        <v>43300101</v>
      </c>
      <c r="D1463" t="s">
        <v>67</v>
      </c>
      <c r="H1463" t="str">
        <f>"10191080158"</f>
        <v>10191080158</v>
      </c>
      <c r="I1463" t="str">
        <f>"10191080158"</f>
        <v>10191080158</v>
      </c>
      <c r="K1463" t="str">
        <f>""</f>
        <v/>
      </c>
      <c r="M1463" t="s">
        <v>68</v>
      </c>
      <c r="N1463" t="str">
        <f t="shared" si="188"/>
        <v>FOR</v>
      </c>
      <c r="O1463" t="s">
        <v>69</v>
      </c>
      <c r="P1463" t="s">
        <v>75</v>
      </c>
      <c r="Q1463">
        <v>2016</v>
      </c>
      <c r="R1463" s="4">
        <v>42658</v>
      </c>
      <c r="S1463" s="2">
        <v>42669</v>
      </c>
      <c r="T1463" s="2">
        <v>42662</v>
      </c>
      <c r="U1463" s="4">
        <v>42722</v>
      </c>
      <c r="V1463" t="s">
        <v>71</v>
      </c>
      <c r="W1463" t="str">
        <f>"           007820-PA"</f>
        <v xml:space="preserve">           007820-PA</v>
      </c>
      <c r="X1463">
        <v>225.7</v>
      </c>
      <c r="Y1463">
        <v>0</v>
      </c>
      <c r="Z1463" s="5">
        <v>185</v>
      </c>
      <c r="AA1463" s="3">
        <v>46</v>
      </c>
      <c r="AB1463" s="5">
        <v>8510</v>
      </c>
      <c r="AC1463">
        <v>185</v>
      </c>
      <c r="AD1463">
        <v>46</v>
      </c>
      <c r="AE1463" s="1">
        <v>8510</v>
      </c>
      <c r="AF1463">
        <v>0</v>
      </c>
      <c r="AJ1463">
        <v>0</v>
      </c>
      <c r="AK1463">
        <v>0</v>
      </c>
      <c r="AL1463">
        <v>0</v>
      </c>
      <c r="AM1463">
        <v>0</v>
      </c>
      <c r="AN1463">
        <v>0</v>
      </c>
      <c r="AO1463">
        <v>0</v>
      </c>
      <c r="AP1463" s="2">
        <v>42831</v>
      </c>
      <c r="AQ1463" t="s">
        <v>72</v>
      </c>
      <c r="AR1463" t="s">
        <v>72</v>
      </c>
      <c r="AS1463">
        <v>214</v>
      </c>
      <c r="AT1463" s="4">
        <v>42768</v>
      </c>
      <c r="AU1463" t="s">
        <v>73</v>
      </c>
      <c r="AV1463">
        <v>214</v>
      </c>
      <c r="AW1463" s="4">
        <v>42768</v>
      </c>
      <c r="BD1463">
        <v>0</v>
      </c>
      <c r="BN1463" t="s">
        <v>74</v>
      </c>
    </row>
    <row r="1464" spans="1:66">
      <c r="A1464">
        <v>102844</v>
      </c>
      <c r="B1464" t="s">
        <v>349</v>
      </c>
      <c r="C1464" s="1">
        <v>43300101</v>
      </c>
      <c r="D1464" t="s">
        <v>67</v>
      </c>
      <c r="H1464" t="str">
        <f>"10191080158"</f>
        <v>10191080158</v>
      </c>
      <c r="I1464" t="str">
        <f>"10191080158"</f>
        <v>10191080158</v>
      </c>
      <c r="K1464" t="str">
        <f>""</f>
        <v/>
      </c>
      <c r="M1464" t="s">
        <v>68</v>
      </c>
      <c r="N1464" t="str">
        <f t="shared" si="188"/>
        <v>FOR</v>
      </c>
      <c r="O1464" t="s">
        <v>69</v>
      </c>
      <c r="P1464" t="s">
        <v>75</v>
      </c>
      <c r="Q1464">
        <v>2016</v>
      </c>
      <c r="R1464" s="4">
        <v>42733</v>
      </c>
      <c r="S1464" s="2">
        <v>42735</v>
      </c>
      <c r="T1464" s="2">
        <v>42733</v>
      </c>
      <c r="U1464" s="4">
        <v>42793</v>
      </c>
      <c r="V1464" t="s">
        <v>71</v>
      </c>
      <c r="W1464" t="str">
        <f>"           010083-PA"</f>
        <v xml:space="preserve">           010083-PA</v>
      </c>
      <c r="X1464">
        <v>451.4</v>
      </c>
      <c r="Y1464">
        <v>0</v>
      </c>
      <c r="Z1464" s="5">
        <v>370</v>
      </c>
      <c r="AA1464" s="3">
        <v>-25</v>
      </c>
      <c r="AB1464" s="5">
        <v>-9250</v>
      </c>
      <c r="AC1464">
        <v>370</v>
      </c>
      <c r="AD1464">
        <v>-25</v>
      </c>
      <c r="AE1464" s="1">
        <v>-9250</v>
      </c>
      <c r="AF1464">
        <v>0</v>
      </c>
      <c r="AJ1464">
        <v>0</v>
      </c>
      <c r="AK1464">
        <v>0</v>
      </c>
      <c r="AL1464">
        <v>0</v>
      </c>
      <c r="AM1464">
        <v>0</v>
      </c>
      <c r="AN1464">
        <v>0</v>
      </c>
      <c r="AO1464">
        <v>0</v>
      </c>
      <c r="AP1464" s="2">
        <v>42831</v>
      </c>
      <c r="AQ1464" t="s">
        <v>72</v>
      </c>
      <c r="AR1464" t="s">
        <v>72</v>
      </c>
      <c r="AS1464">
        <v>214</v>
      </c>
      <c r="AT1464" s="4">
        <v>42768</v>
      </c>
      <c r="AV1464">
        <v>214</v>
      </c>
      <c r="AW1464" s="4">
        <v>42768</v>
      </c>
      <c r="BD1464">
        <v>0</v>
      </c>
      <c r="BN1464" t="s">
        <v>74</v>
      </c>
    </row>
    <row r="1465" spans="1:66">
      <c r="A1465">
        <v>102845</v>
      </c>
      <c r="B1465" t="s">
        <v>350</v>
      </c>
      <c r="C1465" s="1">
        <v>43300101</v>
      </c>
      <c r="D1465" t="s">
        <v>67</v>
      </c>
      <c r="H1465" t="str">
        <f>"02098650712"</f>
        <v>02098650712</v>
      </c>
      <c r="I1465" t="str">
        <f>"02098650712"</f>
        <v>02098650712</v>
      </c>
      <c r="K1465" t="str">
        <f>""</f>
        <v/>
      </c>
      <c r="M1465" t="s">
        <v>68</v>
      </c>
      <c r="N1465" t="str">
        <f t="shared" ref="N1465:N1475" si="192">"FOR"</f>
        <v>FOR</v>
      </c>
      <c r="O1465" t="s">
        <v>69</v>
      </c>
      <c r="P1465" t="s">
        <v>75</v>
      </c>
      <c r="Q1465">
        <v>2016</v>
      </c>
      <c r="R1465" s="4">
        <v>42490</v>
      </c>
      <c r="S1465" s="2">
        <v>42507</v>
      </c>
      <c r="T1465" s="2">
        <v>42506</v>
      </c>
      <c r="U1465" s="4">
        <v>42566</v>
      </c>
      <c r="V1465" t="s">
        <v>71</v>
      </c>
      <c r="W1465" t="str">
        <f>"             F000144"</f>
        <v xml:space="preserve">             F000144</v>
      </c>
      <c r="X1465" s="1">
        <v>18624.650000000001</v>
      </c>
      <c r="Y1465">
        <v>0</v>
      </c>
      <c r="Z1465" s="5">
        <v>15266.11</v>
      </c>
      <c r="AA1465" s="3">
        <v>206</v>
      </c>
      <c r="AB1465" s="5">
        <v>3144818.66</v>
      </c>
      <c r="AC1465" s="1">
        <v>15266.11</v>
      </c>
      <c r="AD1465">
        <v>206</v>
      </c>
      <c r="AE1465" s="1">
        <v>3144818.66</v>
      </c>
      <c r="AF1465">
        <v>0</v>
      </c>
      <c r="AJ1465">
        <v>0</v>
      </c>
      <c r="AK1465">
        <v>0</v>
      </c>
      <c r="AL1465">
        <v>0</v>
      </c>
      <c r="AM1465">
        <v>0</v>
      </c>
      <c r="AN1465">
        <v>0</v>
      </c>
      <c r="AO1465">
        <v>0</v>
      </c>
      <c r="AP1465" s="2">
        <v>42831</v>
      </c>
      <c r="AQ1465" t="s">
        <v>72</v>
      </c>
      <c r="AR1465" t="s">
        <v>72</v>
      </c>
      <c r="AS1465">
        <v>302</v>
      </c>
      <c r="AT1465" s="4">
        <v>42772</v>
      </c>
      <c r="AU1465" t="s">
        <v>73</v>
      </c>
      <c r="AV1465">
        <v>302</v>
      </c>
      <c r="AW1465" s="4">
        <v>42772</v>
      </c>
      <c r="BD1465">
        <v>0</v>
      </c>
      <c r="BN1465" t="s">
        <v>74</v>
      </c>
    </row>
    <row r="1466" spans="1:66">
      <c r="A1466">
        <v>102845</v>
      </c>
      <c r="B1466" t="s">
        <v>350</v>
      </c>
      <c r="C1466" s="1">
        <v>43300101</v>
      </c>
      <c r="D1466" t="s">
        <v>67</v>
      </c>
      <c r="H1466" t="str">
        <f>"02098650712"</f>
        <v>02098650712</v>
      </c>
      <c r="I1466" t="str">
        <f>"02098650712"</f>
        <v>02098650712</v>
      </c>
      <c r="K1466" t="str">
        <f>""</f>
        <v/>
      </c>
      <c r="M1466" t="s">
        <v>68</v>
      </c>
      <c r="N1466" t="str">
        <f t="shared" si="192"/>
        <v>FOR</v>
      </c>
      <c r="O1466" t="s">
        <v>69</v>
      </c>
      <c r="P1466" t="s">
        <v>75</v>
      </c>
      <c r="Q1466">
        <v>2016</v>
      </c>
      <c r="R1466" s="4">
        <v>42521</v>
      </c>
      <c r="S1466" s="2">
        <v>42541</v>
      </c>
      <c r="T1466" s="2">
        <v>42539</v>
      </c>
      <c r="U1466" s="4">
        <v>42599</v>
      </c>
      <c r="V1466" t="s">
        <v>71</v>
      </c>
      <c r="W1466" t="str">
        <f>"             F000189"</f>
        <v xml:space="preserve">             F000189</v>
      </c>
      <c r="X1466" s="1">
        <v>26754.37</v>
      </c>
      <c r="Y1466">
        <v>0</v>
      </c>
      <c r="Z1466" s="5">
        <v>21929.81</v>
      </c>
      <c r="AA1466" s="3">
        <v>196</v>
      </c>
      <c r="AB1466" s="5">
        <v>4298242.76</v>
      </c>
      <c r="AC1466" s="1">
        <v>21929.81</v>
      </c>
      <c r="AD1466">
        <v>196</v>
      </c>
      <c r="AE1466" s="1">
        <v>4298242.76</v>
      </c>
      <c r="AF1466" s="1">
        <v>4824.5600000000004</v>
      </c>
      <c r="AJ1466">
        <v>0</v>
      </c>
      <c r="AK1466">
        <v>0</v>
      </c>
      <c r="AL1466">
        <v>0</v>
      </c>
      <c r="AM1466">
        <v>0</v>
      </c>
      <c r="AN1466">
        <v>0</v>
      </c>
      <c r="AO1466">
        <v>0</v>
      </c>
      <c r="AP1466" s="2">
        <v>42831</v>
      </c>
      <c r="AQ1466" t="s">
        <v>72</v>
      </c>
      <c r="AR1466" t="s">
        <v>72</v>
      </c>
      <c r="AS1466">
        <v>661</v>
      </c>
      <c r="AT1466" s="4">
        <v>42795</v>
      </c>
      <c r="AU1466" t="s">
        <v>73</v>
      </c>
      <c r="AV1466">
        <v>661</v>
      </c>
      <c r="AW1466" s="4">
        <v>42795</v>
      </c>
      <c r="BD1466" s="1">
        <v>4824.5600000000004</v>
      </c>
      <c r="BN1466" t="s">
        <v>74</v>
      </c>
    </row>
    <row r="1467" spans="1:66">
      <c r="A1467">
        <v>102885</v>
      </c>
      <c r="B1467" t="s">
        <v>351</v>
      </c>
      <c r="C1467" s="1">
        <v>43300101</v>
      </c>
      <c r="D1467" t="s">
        <v>67</v>
      </c>
      <c r="H1467" t="str">
        <f t="shared" ref="H1467:I1470" si="193">"00488410010"</f>
        <v>00488410010</v>
      </c>
      <c r="I1467" t="str">
        <f t="shared" si="193"/>
        <v>00488410010</v>
      </c>
      <c r="K1467" t="str">
        <f>""</f>
        <v/>
      </c>
      <c r="M1467" t="s">
        <v>68</v>
      </c>
      <c r="N1467" t="str">
        <f t="shared" si="192"/>
        <v>FOR</v>
      </c>
      <c r="O1467" t="s">
        <v>69</v>
      </c>
      <c r="P1467" t="s">
        <v>75</v>
      </c>
      <c r="Q1467">
        <v>2016</v>
      </c>
      <c r="R1467" s="4">
        <v>42710</v>
      </c>
      <c r="S1467" s="2">
        <v>42733</v>
      </c>
      <c r="T1467" s="2">
        <v>42732</v>
      </c>
      <c r="U1467" s="4">
        <v>42792</v>
      </c>
      <c r="V1467" t="s">
        <v>71</v>
      </c>
      <c r="W1467" t="str">
        <f>"          8A01071576"</f>
        <v xml:space="preserve">          8A01071576</v>
      </c>
      <c r="X1467">
        <v>2.44</v>
      </c>
      <c r="Y1467">
        <v>-0.44</v>
      </c>
      <c r="Z1467" s="5">
        <v>2</v>
      </c>
      <c r="AA1467" s="3">
        <v>-26</v>
      </c>
      <c r="AB1467" s="3">
        <v>-52</v>
      </c>
      <c r="AC1467">
        <v>2</v>
      </c>
      <c r="AD1467">
        <v>-26</v>
      </c>
      <c r="AE1467">
        <v>-52</v>
      </c>
      <c r="AF1467">
        <v>0</v>
      </c>
      <c r="AJ1467">
        <v>0</v>
      </c>
      <c r="AK1467">
        <v>0</v>
      </c>
      <c r="AL1467">
        <v>0</v>
      </c>
      <c r="AM1467">
        <v>0</v>
      </c>
      <c r="AN1467">
        <v>0</v>
      </c>
      <c r="AO1467">
        <v>0</v>
      </c>
      <c r="AP1467" s="2">
        <v>42831</v>
      </c>
      <c r="AQ1467" t="s">
        <v>72</v>
      </c>
      <c r="AR1467" t="s">
        <v>72</v>
      </c>
      <c r="AS1467">
        <v>153</v>
      </c>
      <c r="AT1467" s="4">
        <v>42766</v>
      </c>
      <c r="AV1467">
        <v>153</v>
      </c>
      <c r="AW1467" s="4">
        <v>42766</v>
      </c>
      <c r="BD1467">
        <v>0</v>
      </c>
      <c r="BN1467" t="s">
        <v>74</v>
      </c>
    </row>
    <row r="1468" spans="1:66">
      <c r="A1468">
        <v>102885</v>
      </c>
      <c r="B1468" t="s">
        <v>351</v>
      </c>
      <c r="C1468" s="1">
        <v>43300101</v>
      </c>
      <c r="D1468" t="s">
        <v>67</v>
      </c>
      <c r="H1468" t="str">
        <f t="shared" si="193"/>
        <v>00488410010</v>
      </c>
      <c r="I1468" t="str">
        <f t="shared" si="193"/>
        <v>00488410010</v>
      </c>
      <c r="K1468" t="str">
        <f>""</f>
        <v/>
      </c>
      <c r="M1468" t="s">
        <v>68</v>
      </c>
      <c r="N1468" t="str">
        <f t="shared" si="192"/>
        <v>FOR</v>
      </c>
      <c r="O1468" t="s">
        <v>69</v>
      </c>
      <c r="P1468" t="s">
        <v>75</v>
      </c>
      <c r="Q1468">
        <v>2016</v>
      </c>
      <c r="R1468" s="4">
        <v>42710</v>
      </c>
      <c r="S1468" s="2">
        <v>42733</v>
      </c>
      <c r="T1468" s="2">
        <v>42732</v>
      </c>
      <c r="U1468" s="4">
        <v>42792</v>
      </c>
      <c r="V1468" t="s">
        <v>71</v>
      </c>
      <c r="W1468" t="str">
        <f>"    4220817800022180"</f>
        <v xml:space="preserve">    4220817800022180</v>
      </c>
      <c r="X1468" s="1">
        <v>14976.17</v>
      </c>
      <c r="Y1468" s="1">
        <v>-2699.35</v>
      </c>
      <c r="Z1468" s="5">
        <v>12276.82</v>
      </c>
      <c r="AA1468" s="3">
        <v>-26</v>
      </c>
      <c r="AB1468" s="5">
        <v>-319197.32</v>
      </c>
      <c r="AC1468" s="1">
        <v>12276.82</v>
      </c>
      <c r="AD1468">
        <v>-26</v>
      </c>
      <c r="AE1468" s="1">
        <v>-319197.32</v>
      </c>
      <c r="AF1468">
        <v>0</v>
      </c>
      <c r="AJ1468">
        <v>0</v>
      </c>
      <c r="AK1468">
        <v>0</v>
      </c>
      <c r="AL1468">
        <v>0</v>
      </c>
      <c r="AM1468">
        <v>0</v>
      </c>
      <c r="AN1468">
        <v>0</v>
      </c>
      <c r="AO1468">
        <v>0</v>
      </c>
      <c r="AP1468" s="2">
        <v>42831</v>
      </c>
      <c r="AQ1468" t="s">
        <v>72</v>
      </c>
      <c r="AR1468" t="s">
        <v>72</v>
      </c>
      <c r="AS1468">
        <v>153</v>
      </c>
      <c r="AT1468" s="4">
        <v>42766</v>
      </c>
      <c r="AV1468">
        <v>153</v>
      </c>
      <c r="AW1468" s="4">
        <v>42766</v>
      </c>
      <c r="BD1468">
        <v>0</v>
      </c>
      <c r="BN1468" t="s">
        <v>74</v>
      </c>
    </row>
    <row r="1469" spans="1:66">
      <c r="A1469">
        <v>102885</v>
      </c>
      <c r="B1469" t="s">
        <v>351</v>
      </c>
      <c r="C1469" s="1">
        <v>43300101</v>
      </c>
      <c r="D1469" t="s">
        <v>67</v>
      </c>
      <c r="H1469" t="str">
        <f t="shared" si="193"/>
        <v>00488410010</v>
      </c>
      <c r="I1469" t="str">
        <f t="shared" si="193"/>
        <v>00488410010</v>
      </c>
      <c r="K1469" t="str">
        <f>""</f>
        <v/>
      </c>
      <c r="M1469" t="s">
        <v>68</v>
      </c>
      <c r="N1469" t="str">
        <f t="shared" si="192"/>
        <v>FOR</v>
      </c>
      <c r="O1469" t="s">
        <v>69</v>
      </c>
      <c r="P1469" t="s">
        <v>75</v>
      </c>
      <c r="Q1469">
        <v>2017</v>
      </c>
      <c r="R1469" s="4">
        <v>42772</v>
      </c>
      <c r="S1469" s="2">
        <v>42788</v>
      </c>
      <c r="T1469" s="2">
        <v>42787</v>
      </c>
      <c r="U1469" s="4">
        <v>42847</v>
      </c>
      <c r="V1469" t="s">
        <v>71</v>
      </c>
      <c r="W1469" t="str">
        <f>"          8A00099703"</f>
        <v xml:space="preserve">          8A00099703</v>
      </c>
      <c r="X1469">
        <v>2.86</v>
      </c>
      <c r="Y1469">
        <v>-0.44</v>
      </c>
      <c r="Z1469" s="5">
        <v>2.42</v>
      </c>
      <c r="AA1469" s="3">
        <v>-29</v>
      </c>
      <c r="AB1469" s="3">
        <v>-70.180000000000007</v>
      </c>
      <c r="AC1469">
        <v>2.42</v>
      </c>
      <c r="AD1469">
        <v>-29</v>
      </c>
      <c r="AE1469">
        <v>-70.180000000000007</v>
      </c>
      <c r="AF1469">
        <v>0</v>
      </c>
      <c r="AJ1469">
        <v>2.42</v>
      </c>
      <c r="AK1469">
        <v>2.42</v>
      </c>
      <c r="AL1469">
        <v>2.42</v>
      </c>
      <c r="AM1469">
        <v>2.42</v>
      </c>
      <c r="AN1469">
        <v>2.42</v>
      </c>
      <c r="AO1469">
        <v>2.42</v>
      </c>
      <c r="AP1469" s="2">
        <v>42831</v>
      </c>
      <c r="AQ1469" t="s">
        <v>72</v>
      </c>
      <c r="AR1469" t="s">
        <v>72</v>
      </c>
      <c r="AS1469">
        <v>898</v>
      </c>
      <c r="AT1469" s="4">
        <v>42818</v>
      </c>
      <c r="AV1469">
        <v>898</v>
      </c>
      <c r="AW1469" s="4">
        <v>42818</v>
      </c>
      <c r="BD1469">
        <v>0</v>
      </c>
      <c r="BN1469" t="s">
        <v>74</v>
      </c>
    </row>
    <row r="1470" spans="1:66">
      <c r="A1470">
        <v>102885</v>
      </c>
      <c r="B1470" t="s">
        <v>351</v>
      </c>
      <c r="C1470" s="1">
        <v>43300101</v>
      </c>
      <c r="D1470" t="s">
        <v>67</v>
      </c>
      <c r="H1470" t="str">
        <f t="shared" si="193"/>
        <v>00488410010</v>
      </c>
      <c r="I1470" t="str">
        <f t="shared" si="193"/>
        <v>00488410010</v>
      </c>
      <c r="K1470" t="str">
        <f>""</f>
        <v/>
      </c>
      <c r="M1470" t="s">
        <v>68</v>
      </c>
      <c r="N1470" t="str">
        <f t="shared" si="192"/>
        <v>FOR</v>
      </c>
      <c r="O1470" t="s">
        <v>69</v>
      </c>
      <c r="P1470" t="s">
        <v>75</v>
      </c>
      <c r="Q1470">
        <v>2017</v>
      </c>
      <c r="R1470" s="4">
        <v>42772</v>
      </c>
      <c r="S1470" s="2">
        <v>42788</v>
      </c>
      <c r="T1470" s="2">
        <v>42787</v>
      </c>
      <c r="U1470" s="4">
        <v>42847</v>
      </c>
      <c r="V1470" t="s">
        <v>71</v>
      </c>
      <c r="W1470" t="str">
        <f>"    4220817800002043"</f>
        <v xml:space="preserve">    4220817800002043</v>
      </c>
      <c r="X1470" s="1">
        <v>15841.68</v>
      </c>
      <c r="Y1470" s="1">
        <v>-2709.4</v>
      </c>
      <c r="Z1470" s="5">
        <v>13132.28</v>
      </c>
      <c r="AA1470" s="3">
        <v>-29</v>
      </c>
      <c r="AB1470" s="5">
        <v>-380836.12</v>
      </c>
      <c r="AC1470" s="1">
        <v>13132.28</v>
      </c>
      <c r="AD1470">
        <v>-29</v>
      </c>
      <c r="AE1470" s="1">
        <v>-380836.12</v>
      </c>
      <c r="AF1470">
        <v>0</v>
      </c>
      <c r="AJ1470" s="1">
        <v>13132.28</v>
      </c>
      <c r="AK1470" s="1">
        <v>13132.28</v>
      </c>
      <c r="AL1470" s="1">
        <v>13132.28</v>
      </c>
      <c r="AM1470" s="1">
        <v>13132.28</v>
      </c>
      <c r="AN1470" s="1">
        <v>13132.28</v>
      </c>
      <c r="AO1470" s="1">
        <v>13132.28</v>
      </c>
      <c r="AP1470" s="2">
        <v>42831</v>
      </c>
      <c r="AQ1470" t="s">
        <v>72</v>
      </c>
      <c r="AR1470" t="s">
        <v>72</v>
      </c>
      <c r="AS1470">
        <v>898</v>
      </c>
      <c r="AT1470" s="4">
        <v>42818</v>
      </c>
      <c r="AV1470">
        <v>898</v>
      </c>
      <c r="AW1470" s="4">
        <v>42818</v>
      </c>
      <c r="BD1470">
        <v>0</v>
      </c>
      <c r="BN1470" t="s">
        <v>74</v>
      </c>
    </row>
    <row r="1471" spans="1:66">
      <c r="A1471">
        <v>102916</v>
      </c>
      <c r="B1471" t="s">
        <v>352</v>
      </c>
      <c r="C1471" s="1">
        <v>43300101</v>
      </c>
      <c r="D1471" t="s">
        <v>67</v>
      </c>
      <c r="H1471" t="str">
        <f t="shared" ref="H1471:I1475" si="194">"05673940630"</f>
        <v>05673940630</v>
      </c>
      <c r="I1471" t="str">
        <f t="shared" si="194"/>
        <v>05673940630</v>
      </c>
      <c r="K1471" t="str">
        <f>""</f>
        <v/>
      </c>
      <c r="M1471" t="s">
        <v>68</v>
      </c>
      <c r="N1471" t="str">
        <f t="shared" si="192"/>
        <v>FOR</v>
      </c>
      <c r="O1471" t="s">
        <v>69</v>
      </c>
      <c r="P1471" t="s">
        <v>75</v>
      </c>
      <c r="Q1471">
        <v>2016</v>
      </c>
      <c r="R1471" s="4">
        <v>42438</v>
      </c>
      <c r="S1471" s="2">
        <v>42443</v>
      </c>
      <c r="T1471" s="2">
        <v>42441</v>
      </c>
      <c r="U1471" s="4">
        <v>42501</v>
      </c>
      <c r="V1471" t="s">
        <v>71</v>
      </c>
      <c r="W1471" t="str">
        <f>"                 148"</f>
        <v xml:space="preserve">                 148</v>
      </c>
      <c r="X1471" s="1">
        <v>1415.2</v>
      </c>
      <c r="Y1471">
        <v>0</v>
      </c>
      <c r="Z1471" s="5">
        <v>1160</v>
      </c>
      <c r="AA1471" s="3">
        <v>267</v>
      </c>
      <c r="AB1471" s="5">
        <v>309720</v>
      </c>
      <c r="AC1471" s="1">
        <v>1160</v>
      </c>
      <c r="AD1471">
        <v>267</v>
      </c>
      <c r="AE1471" s="1">
        <v>309720</v>
      </c>
      <c r="AF1471">
        <v>0</v>
      </c>
      <c r="AJ1471">
        <v>0</v>
      </c>
      <c r="AK1471">
        <v>0</v>
      </c>
      <c r="AL1471">
        <v>0</v>
      </c>
      <c r="AM1471">
        <v>0</v>
      </c>
      <c r="AN1471">
        <v>0</v>
      </c>
      <c r="AO1471">
        <v>0</v>
      </c>
      <c r="AP1471" s="2">
        <v>42831</v>
      </c>
      <c r="AQ1471" t="s">
        <v>72</v>
      </c>
      <c r="AR1471" t="s">
        <v>72</v>
      </c>
      <c r="AS1471">
        <v>216</v>
      </c>
      <c r="AT1471" s="4">
        <v>42768</v>
      </c>
      <c r="AU1471" t="s">
        <v>73</v>
      </c>
      <c r="AV1471">
        <v>216</v>
      </c>
      <c r="AW1471" s="4">
        <v>42768</v>
      </c>
      <c r="BD1471">
        <v>0</v>
      </c>
      <c r="BN1471" t="s">
        <v>74</v>
      </c>
    </row>
    <row r="1472" spans="1:66">
      <c r="A1472">
        <v>102916</v>
      </c>
      <c r="B1472" t="s">
        <v>352</v>
      </c>
      <c r="C1472" s="1">
        <v>43300101</v>
      </c>
      <c r="D1472" t="s">
        <v>67</v>
      </c>
      <c r="H1472" t="str">
        <f t="shared" si="194"/>
        <v>05673940630</v>
      </c>
      <c r="I1472" t="str">
        <f t="shared" si="194"/>
        <v>05673940630</v>
      </c>
      <c r="K1472" t="str">
        <f>""</f>
        <v/>
      </c>
      <c r="M1472" t="s">
        <v>68</v>
      </c>
      <c r="N1472" t="str">
        <f t="shared" si="192"/>
        <v>FOR</v>
      </c>
      <c r="O1472" t="s">
        <v>69</v>
      </c>
      <c r="P1472" t="s">
        <v>75</v>
      </c>
      <c r="Q1472">
        <v>2016</v>
      </c>
      <c r="R1472" s="4">
        <v>42474</v>
      </c>
      <c r="S1472" s="2">
        <v>42478</v>
      </c>
      <c r="T1472" s="2">
        <v>42475</v>
      </c>
      <c r="U1472" s="4">
        <v>42535</v>
      </c>
      <c r="V1472" t="s">
        <v>71</v>
      </c>
      <c r="W1472" t="str">
        <f>"                 224"</f>
        <v xml:space="preserve">                 224</v>
      </c>
      <c r="X1472" s="1">
        <v>2415.6</v>
      </c>
      <c r="Y1472">
        <v>0</v>
      </c>
      <c r="Z1472" s="5">
        <v>1980</v>
      </c>
      <c r="AA1472" s="3">
        <v>244</v>
      </c>
      <c r="AB1472" s="5">
        <v>483120</v>
      </c>
      <c r="AC1472" s="1">
        <v>1980</v>
      </c>
      <c r="AD1472">
        <v>244</v>
      </c>
      <c r="AE1472" s="1">
        <v>483120</v>
      </c>
      <c r="AF1472">
        <v>0</v>
      </c>
      <c r="AJ1472">
        <v>0</v>
      </c>
      <c r="AK1472">
        <v>0</v>
      </c>
      <c r="AL1472">
        <v>0</v>
      </c>
      <c r="AM1472">
        <v>0</v>
      </c>
      <c r="AN1472">
        <v>0</v>
      </c>
      <c r="AO1472">
        <v>0</v>
      </c>
      <c r="AP1472" s="2">
        <v>42831</v>
      </c>
      <c r="AQ1472" t="s">
        <v>72</v>
      </c>
      <c r="AR1472" t="s">
        <v>72</v>
      </c>
      <c r="AS1472">
        <v>420</v>
      </c>
      <c r="AT1472" s="4">
        <v>42779</v>
      </c>
      <c r="AU1472" t="s">
        <v>73</v>
      </c>
      <c r="AV1472">
        <v>420</v>
      </c>
      <c r="AW1472" s="4">
        <v>42779</v>
      </c>
      <c r="BD1472">
        <v>0</v>
      </c>
      <c r="BN1472" t="s">
        <v>74</v>
      </c>
    </row>
    <row r="1473" spans="1:66">
      <c r="A1473">
        <v>102916</v>
      </c>
      <c r="B1473" t="s">
        <v>352</v>
      </c>
      <c r="C1473" s="1">
        <v>43300101</v>
      </c>
      <c r="D1473" t="s">
        <v>67</v>
      </c>
      <c r="H1473" t="str">
        <f t="shared" si="194"/>
        <v>05673940630</v>
      </c>
      <c r="I1473" t="str">
        <f t="shared" si="194"/>
        <v>05673940630</v>
      </c>
      <c r="K1473" t="str">
        <f>""</f>
        <v/>
      </c>
      <c r="M1473" t="s">
        <v>68</v>
      </c>
      <c r="N1473" t="str">
        <f t="shared" si="192"/>
        <v>FOR</v>
      </c>
      <c r="O1473" t="s">
        <v>69</v>
      </c>
      <c r="P1473" t="s">
        <v>75</v>
      </c>
      <c r="Q1473">
        <v>2016</v>
      </c>
      <c r="R1473" s="4">
        <v>42474</v>
      </c>
      <c r="S1473" s="2">
        <v>42478</v>
      </c>
      <c r="T1473" s="2">
        <v>42475</v>
      </c>
      <c r="U1473" s="4">
        <v>42535</v>
      </c>
      <c r="V1473" t="s">
        <v>71</v>
      </c>
      <c r="W1473" t="str">
        <f>"                 225"</f>
        <v xml:space="preserve">                 225</v>
      </c>
      <c r="X1473" s="1">
        <v>1847.08</v>
      </c>
      <c r="Y1473">
        <v>0</v>
      </c>
      <c r="Z1473" s="5">
        <v>1514</v>
      </c>
      <c r="AA1473" s="3">
        <v>244</v>
      </c>
      <c r="AB1473" s="5">
        <v>369416</v>
      </c>
      <c r="AC1473" s="1">
        <v>1514</v>
      </c>
      <c r="AD1473">
        <v>244</v>
      </c>
      <c r="AE1473" s="1">
        <v>369416</v>
      </c>
      <c r="AF1473">
        <v>0</v>
      </c>
      <c r="AJ1473">
        <v>0</v>
      </c>
      <c r="AK1473">
        <v>0</v>
      </c>
      <c r="AL1473">
        <v>0</v>
      </c>
      <c r="AM1473">
        <v>0</v>
      </c>
      <c r="AN1473">
        <v>0</v>
      </c>
      <c r="AO1473">
        <v>0</v>
      </c>
      <c r="AP1473" s="2">
        <v>42831</v>
      </c>
      <c r="AQ1473" t="s">
        <v>72</v>
      </c>
      <c r="AR1473" t="s">
        <v>72</v>
      </c>
      <c r="AS1473">
        <v>420</v>
      </c>
      <c r="AT1473" s="4">
        <v>42779</v>
      </c>
      <c r="AU1473" t="s">
        <v>73</v>
      </c>
      <c r="AV1473">
        <v>420</v>
      </c>
      <c r="AW1473" s="4">
        <v>42779</v>
      </c>
      <c r="BD1473">
        <v>0</v>
      </c>
      <c r="BN1473" t="s">
        <v>74</v>
      </c>
    </row>
    <row r="1474" spans="1:66">
      <c r="A1474">
        <v>102916</v>
      </c>
      <c r="B1474" t="s">
        <v>352</v>
      </c>
      <c r="C1474" s="1">
        <v>43300101</v>
      </c>
      <c r="D1474" t="s">
        <v>67</v>
      </c>
      <c r="H1474" t="str">
        <f t="shared" si="194"/>
        <v>05673940630</v>
      </c>
      <c r="I1474" t="str">
        <f t="shared" si="194"/>
        <v>05673940630</v>
      </c>
      <c r="K1474" t="str">
        <f>""</f>
        <v/>
      </c>
      <c r="M1474" t="s">
        <v>68</v>
      </c>
      <c r="N1474" t="str">
        <f t="shared" si="192"/>
        <v>FOR</v>
      </c>
      <c r="O1474" t="s">
        <v>69</v>
      </c>
      <c r="P1474" t="s">
        <v>75</v>
      </c>
      <c r="Q1474">
        <v>2016</v>
      </c>
      <c r="R1474" s="4">
        <v>42479</v>
      </c>
      <c r="S1474" s="2">
        <v>42481</v>
      </c>
      <c r="T1474" s="2">
        <v>42479</v>
      </c>
      <c r="U1474" s="4">
        <v>42539</v>
      </c>
      <c r="V1474" t="s">
        <v>71</v>
      </c>
      <c r="W1474" t="str">
        <f>"                 257"</f>
        <v xml:space="preserve">                 257</v>
      </c>
      <c r="X1474" s="1">
        <v>1415.2</v>
      </c>
      <c r="Y1474">
        <v>0</v>
      </c>
      <c r="Z1474" s="5">
        <v>1160</v>
      </c>
      <c r="AA1474" s="3">
        <v>240</v>
      </c>
      <c r="AB1474" s="5">
        <v>278400</v>
      </c>
      <c r="AC1474" s="1">
        <v>1160</v>
      </c>
      <c r="AD1474">
        <v>240</v>
      </c>
      <c r="AE1474" s="1">
        <v>278400</v>
      </c>
      <c r="AF1474">
        <v>0</v>
      </c>
      <c r="AJ1474">
        <v>0</v>
      </c>
      <c r="AK1474">
        <v>0</v>
      </c>
      <c r="AL1474">
        <v>0</v>
      </c>
      <c r="AM1474">
        <v>0</v>
      </c>
      <c r="AN1474">
        <v>0</v>
      </c>
      <c r="AO1474">
        <v>0</v>
      </c>
      <c r="AP1474" s="2">
        <v>42831</v>
      </c>
      <c r="AQ1474" t="s">
        <v>72</v>
      </c>
      <c r="AR1474" t="s">
        <v>72</v>
      </c>
      <c r="AS1474">
        <v>420</v>
      </c>
      <c r="AT1474" s="4">
        <v>42779</v>
      </c>
      <c r="AU1474" t="s">
        <v>73</v>
      </c>
      <c r="AV1474">
        <v>420</v>
      </c>
      <c r="AW1474" s="4">
        <v>42779</v>
      </c>
      <c r="BD1474">
        <v>0</v>
      </c>
      <c r="BN1474" t="s">
        <v>74</v>
      </c>
    </row>
    <row r="1475" spans="1:66">
      <c r="A1475">
        <v>102916</v>
      </c>
      <c r="B1475" t="s">
        <v>352</v>
      </c>
      <c r="C1475" s="1">
        <v>43300101</v>
      </c>
      <c r="D1475" t="s">
        <v>67</v>
      </c>
      <c r="H1475" t="str">
        <f t="shared" si="194"/>
        <v>05673940630</v>
      </c>
      <c r="I1475" t="str">
        <f t="shared" si="194"/>
        <v>05673940630</v>
      </c>
      <c r="K1475" t="str">
        <f>""</f>
        <v/>
      </c>
      <c r="M1475" t="s">
        <v>68</v>
      </c>
      <c r="N1475" t="str">
        <f t="shared" si="192"/>
        <v>FOR</v>
      </c>
      <c r="O1475" t="s">
        <v>69</v>
      </c>
      <c r="P1475" t="s">
        <v>75</v>
      </c>
      <c r="Q1475">
        <v>2016</v>
      </c>
      <c r="R1475" s="4">
        <v>42489</v>
      </c>
      <c r="S1475" s="2">
        <v>42496</v>
      </c>
      <c r="T1475" s="2">
        <v>42493</v>
      </c>
      <c r="U1475" s="4">
        <v>42553</v>
      </c>
      <c r="V1475" t="s">
        <v>71</v>
      </c>
      <c r="W1475" t="str">
        <f>"                 291"</f>
        <v xml:space="preserve">                 291</v>
      </c>
      <c r="X1475" s="1">
        <v>1207.8</v>
      </c>
      <c r="Y1475">
        <v>0</v>
      </c>
      <c r="Z1475" s="5">
        <v>990</v>
      </c>
      <c r="AA1475" s="3">
        <v>226</v>
      </c>
      <c r="AB1475" s="5">
        <v>223740</v>
      </c>
      <c r="AC1475">
        <v>990</v>
      </c>
      <c r="AD1475">
        <v>226</v>
      </c>
      <c r="AE1475" s="1">
        <v>223740</v>
      </c>
      <c r="AF1475">
        <v>0</v>
      </c>
      <c r="AJ1475">
        <v>0</v>
      </c>
      <c r="AK1475">
        <v>0</v>
      </c>
      <c r="AL1475">
        <v>0</v>
      </c>
      <c r="AM1475">
        <v>0</v>
      </c>
      <c r="AN1475">
        <v>0</v>
      </c>
      <c r="AO1475">
        <v>0</v>
      </c>
      <c r="AP1475" s="2">
        <v>42831</v>
      </c>
      <c r="AQ1475" t="s">
        <v>72</v>
      </c>
      <c r="AR1475" t="s">
        <v>72</v>
      </c>
      <c r="AS1475">
        <v>420</v>
      </c>
      <c r="AT1475" s="4">
        <v>42779</v>
      </c>
      <c r="AU1475" t="s">
        <v>73</v>
      </c>
      <c r="AV1475">
        <v>420</v>
      </c>
      <c r="AW1475" s="4">
        <v>42779</v>
      </c>
      <c r="BD1475">
        <v>0</v>
      </c>
      <c r="BN1475" t="s">
        <v>74</v>
      </c>
    </row>
    <row r="1476" spans="1:66">
      <c r="A1476">
        <v>103072</v>
      </c>
      <c r="B1476" t="s">
        <v>353</v>
      </c>
      <c r="C1476" s="1">
        <v>43201201</v>
      </c>
      <c r="D1476" t="s">
        <v>354</v>
      </c>
      <c r="H1476" t="str">
        <f t="shared" ref="H1476:I1481" si="195">"01009680628"</f>
        <v>01009680628</v>
      </c>
      <c r="I1476" t="str">
        <f t="shared" si="195"/>
        <v>01009680628</v>
      </c>
      <c r="K1476" t="str">
        <f>""</f>
        <v/>
      </c>
      <c r="M1476" t="s">
        <v>68</v>
      </c>
      <c r="N1476" t="str">
        <f t="shared" ref="N1476:N1481" si="196">"AZ1"</f>
        <v>AZ1</v>
      </c>
      <c r="O1476" t="s">
        <v>355</v>
      </c>
      <c r="P1476" t="s">
        <v>75</v>
      </c>
      <c r="Q1476">
        <v>2016</v>
      </c>
      <c r="R1476" s="4">
        <v>42688</v>
      </c>
      <c r="S1476" s="2">
        <v>42688</v>
      </c>
      <c r="T1476" s="2">
        <v>42688</v>
      </c>
      <c r="U1476" s="4">
        <v>42748</v>
      </c>
      <c r="V1476" t="s">
        <v>71</v>
      </c>
      <c r="W1476" t="str">
        <f>"        FE/2016/1977"</f>
        <v xml:space="preserve">        FE/2016/1977</v>
      </c>
      <c r="X1476" s="1">
        <v>10194</v>
      </c>
      <c r="Y1476">
        <v>0</v>
      </c>
      <c r="Z1476" s="5">
        <v>10194</v>
      </c>
      <c r="AA1476" s="3">
        <v>17</v>
      </c>
      <c r="AB1476" s="5">
        <v>173298</v>
      </c>
      <c r="AC1476" s="1">
        <v>10194</v>
      </c>
      <c r="AD1476">
        <v>17</v>
      </c>
      <c r="AE1476" s="1">
        <v>173298</v>
      </c>
      <c r="AF1476">
        <v>0</v>
      </c>
      <c r="AJ1476">
        <v>0</v>
      </c>
      <c r="AK1476">
        <v>0</v>
      </c>
      <c r="AL1476">
        <v>0</v>
      </c>
      <c r="AM1476">
        <v>0</v>
      </c>
      <c r="AN1476">
        <v>0</v>
      </c>
      <c r="AO1476">
        <v>0</v>
      </c>
      <c r="AP1476" s="2">
        <v>42831</v>
      </c>
      <c r="AQ1476" t="s">
        <v>72</v>
      </c>
      <c r="AR1476" t="s">
        <v>72</v>
      </c>
      <c r="AS1476">
        <v>149</v>
      </c>
      <c r="AT1476" s="4">
        <v>42765</v>
      </c>
      <c r="AU1476" t="s">
        <v>73</v>
      </c>
      <c r="AV1476">
        <v>149</v>
      </c>
      <c r="AW1476" s="4">
        <v>42765</v>
      </c>
      <c r="BD1476">
        <v>0</v>
      </c>
      <c r="BN1476" t="s">
        <v>74</v>
      </c>
    </row>
    <row r="1477" spans="1:66">
      <c r="A1477">
        <v>103072</v>
      </c>
      <c r="B1477" t="s">
        <v>353</v>
      </c>
      <c r="C1477" s="1">
        <v>43201201</v>
      </c>
      <c r="D1477" t="s">
        <v>354</v>
      </c>
      <c r="H1477" t="str">
        <f t="shared" si="195"/>
        <v>01009680628</v>
      </c>
      <c r="I1477" t="str">
        <f t="shared" si="195"/>
        <v>01009680628</v>
      </c>
      <c r="K1477" t="str">
        <f>""</f>
        <v/>
      </c>
      <c r="M1477" t="s">
        <v>68</v>
      </c>
      <c r="N1477" t="str">
        <f t="shared" si="196"/>
        <v>AZ1</v>
      </c>
      <c r="O1477" t="s">
        <v>355</v>
      </c>
      <c r="P1477" t="s">
        <v>75</v>
      </c>
      <c r="Q1477">
        <v>2016</v>
      </c>
      <c r="R1477" s="4">
        <v>42702</v>
      </c>
      <c r="S1477" s="2">
        <v>42702</v>
      </c>
      <c r="T1477" s="2">
        <v>42702</v>
      </c>
      <c r="U1477" s="4">
        <v>42762</v>
      </c>
      <c r="V1477" t="s">
        <v>71</v>
      </c>
      <c r="W1477" t="str">
        <f>"        FE/2016/2043"</f>
        <v xml:space="preserve">        FE/2016/2043</v>
      </c>
      <c r="X1477" s="1">
        <v>10390</v>
      </c>
      <c r="Y1477">
        <v>0</v>
      </c>
      <c r="Z1477" s="5">
        <v>10390</v>
      </c>
      <c r="AA1477" s="3">
        <v>3</v>
      </c>
      <c r="AB1477" s="5">
        <v>31170</v>
      </c>
      <c r="AC1477" s="1">
        <v>10390</v>
      </c>
      <c r="AD1477">
        <v>3</v>
      </c>
      <c r="AE1477" s="1">
        <v>31170</v>
      </c>
      <c r="AF1477">
        <v>0</v>
      </c>
      <c r="AJ1477">
        <v>0</v>
      </c>
      <c r="AK1477">
        <v>0</v>
      </c>
      <c r="AL1477">
        <v>0</v>
      </c>
      <c r="AM1477">
        <v>0</v>
      </c>
      <c r="AN1477">
        <v>0</v>
      </c>
      <c r="AO1477">
        <v>0</v>
      </c>
      <c r="AP1477" s="2">
        <v>42831</v>
      </c>
      <c r="AQ1477" t="s">
        <v>72</v>
      </c>
      <c r="AR1477" t="s">
        <v>72</v>
      </c>
      <c r="AS1477">
        <v>149</v>
      </c>
      <c r="AT1477" s="4">
        <v>42765</v>
      </c>
      <c r="AU1477" t="s">
        <v>73</v>
      </c>
      <c r="AV1477">
        <v>149</v>
      </c>
      <c r="AW1477" s="4">
        <v>42765</v>
      </c>
      <c r="BD1477">
        <v>0</v>
      </c>
      <c r="BN1477" t="s">
        <v>74</v>
      </c>
    </row>
    <row r="1478" spans="1:66">
      <c r="A1478">
        <v>103072</v>
      </c>
      <c r="B1478" t="s">
        <v>353</v>
      </c>
      <c r="C1478" s="1">
        <v>43201201</v>
      </c>
      <c r="D1478" t="s">
        <v>354</v>
      </c>
      <c r="H1478" t="str">
        <f t="shared" si="195"/>
        <v>01009680628</v>
      </c>
      <c r="I1478" t="str">
        <f t="shared" si="195"/>
        <v>01009680628</v>
      </c>
      <c r="K1478" t="str">
        <f>""</f>
        <v/>
      </c>
      <c r="M1478" t="s">
        <v>68</v>
      </c>
      <c r="N1478" t="str">
        <f t="shared" si="196"/>
        <v>AZ1</v>
      </c>
      <c r="O1478" t="s">
        <v>355</v>
      </c>
      <c r="P1478" t="s">
        <v>75</v>
      </c>
      <c r="Q1478">
        <v>2016</v>
      </c>
      <c r="R1478" s="4">
        <v>42702</v>
      </c>
      <c r="S1478" s="2">
        <v>42702</v>
      </c>
      <c r="T1478" s="2">
        <v>42702</v>
      </c>
      <c r="U1478" s="4">
        <v>42762</v>
      </c>
      <c r="V1478" t="s">
        <v>71</v>
      </c>
      <c r="W1478" t="str">
        <f>"        FE/2016/2044"</f>
        <v xml:space="preserve">        FE/2016/2044</v>
      </c>
      <c r="X1478" s="1">
        <v>10250</v>
      </c>
      <c r="Y1478">
        <v>0</v>
      </c>
      <c r="Z1478" s="5">
        <v>10250</v>
      </c>
      <c r="AA1478" s="3">
        <v>3</v>
      </c>
      <c r="AB1478" s="5">
        <v>30750</v>
      </c>
      <c r="AC1478" s="1">
        <v>10250</v>
      </c>
      <c r="AD1478">
        <v>3</v>
      </c>
      <c r="AE1478" s="1">
        <v>30750</v>
      </c>
      <c r="AF1478">
        <v>0</v>
      </c>
      <c r="AJ1478">
        <v>0</v>
      </c>
      <c r="AK1478">
        <v>0</v>
      </c>
      <c r="AL1478">
        <v>0</v>
      </c>
      <c r="AM1478">
        <v>0</v>
      </c>
      <c r="AN1478">
        <v>0</v>
      </c>
      <c r="AO1478">
        <v>0</v>
      </c>
      <c r="AP1478" s="2">
        <v>42831</v>
      </c>
      <c r="AQ1478" t="s">
        <v>72</v>
      </c>
      <c r="AR1478" t="s">
        <v>72</v>
      </c>
      <c r="AS1478">
        <v>149</v>
      </c>
      <c r="AT1478" s="4">
        <v>42765</v>
      </c>
      <c r="AU1478" t="s">
        <v>73</v>
      </c>
      <c r="AV1478">
        <v>149</v>
      </c>
      <c r="AW1478" s="4">
        <v>42765</v>
      </c>
      <c r="BD1478">
        <v>0</v>
      </c>
      <c r="BN1478" t="s">
        <v>74</v>
      </c>
    </row>
    <row r="1479" spans="1:66">
      <c r="A1479">
        <v>103072</v>
      </c>
      <c r="B1479" t="s">
        <v>353</v>
      </c>
      <c r="C1479" s="1">
        <v>43201201</v>
      </c>
      <c r="D1479" t="s">
        <v>354</v>
      </c>
      <c r="H1479" t="str">
        <f t="shared" si="195"/>
        <v>01009680628</v>
      </c>
      <c r="I1479" t="str">
        <f t="shared" si="195"/>
        <v>01009680628</v>
      </c>
      <c r="K1479" t="str">
        <f>""</f>
        <v/>
      </c>
      <c r="M1479" t="s">
        <v>68</v>
      </c>
      <c r="N1479" t="str">
        <f t="shared" si="196"/>
        <v>AZ1</v>
      </c>
      <c r="O1479" t="s">
        <v>355</v>
      </c>
      <c r="P1479" t="s">
        <v>75</v>
      </c>
      <c r="Q1479">
        <v>2016</v>
      </c>
      <c r="R1479" s="4">
        <v>42702</v>
      </c>
      <c r="S1479" s="2">
        <v>42702</v>
      </c>
      <c r="T1479" s="2">
        <v>42702</v>
      </c>
      <c r="U1479" s="4">
        <v>42762</v>
      </c>
      <c r="V1479" t="s">
        <v>71</v>
      </c>
      <c r="W1479" t="str">
        <f>"        FE/2016/2046"</f>
        <v xml:space="preserve">        FE/2016/2046</v>
      </c>
      <c r="X1479" s="1">
        <v>25202</v>
      </c>
      <c r="Y1479">
        <v>0</v>
      </c>
      <c r="Z1479" s="5">
        <v>25202</v>
      </c>
      <c r="AA1479" s="3">
        <v>3</v>
      </c>
      <c r="AB1479" s="5">
        <v>75606</v>
      </c>
      <c r="AC1479" s="1">
        <v>25202</v>
      </c>
      <c r="AD1479">
        <v>3</v>
      </c>
      <c r="AE1479" s="1">
        <v>75606</v>
      </c>
      <c r="AF1479">
        <v>0</v>
      </c>
      <c r="AJ1479">
        <v>0</v>
      </c>
      <c r="AK1479">
        <v>0</v>
      </c>
      <c r="AL1479">
        <v>0</v>
      </c>
      <c r="AM1479">
        <v>0</v>
      </c>
      <c r="AN1479">
        <v>0</v>
      </c>
      <c r="AO1479">
        <v>0</v>
      </c>
      <c r="AP1479" s="2">
        <v>42831</v>
      </c>
      <c r="AQ1479" t="s">
        <v>72</v>
      </c>
      <c r="AR1479" t="s">
        <v>72</v>
      </c>
      <c r="AS1479">
        <v>149</v>
      </c>
      <c r="AT1479" s="4">
        <v>42765</v>
      </c>
      <c r="AU1479" t="s">
        <v>73</v>
      </c>
      <c r="AV1479">
        <v>149</v>
      </c>
      <c r="AW1479" s="4">
        <v>42765</v>
      </c>
      <c r="BD1479">
        <v>0</v>
      </c>
      <c r="BN1479" t="s">
        <v>74</v>
      </c>
    </row>
    <row r="1480" spans="1:66">
      <c r="A1480">
        <v>103072</v>
      </c>
      <c r="B1480" t="s">
        <v>353</v>
      </c>
      <c r="C1480" s="1">
        <v>43201201</v>
      </c>
      <c r="D1480" t="s">
        <v>354</v>
      </c>
      <c r="H1480" t="str">
        <f t="shared" si="195"/>
        <v>01009680628</v>
      </c>
      <c r="I1480" t="str">
        <f t="shared" si="195"/>
        <v>01009680628</v>
      </c>
      <c r="K1480" t="str">
        <f>""</f>
        <v/>
      </c>
      <c r="M1480" t="s">
        <v>68</v>
      </c>
      <c r="N1480" t="str">
        <f t="shared" si="196"/>
        <v>AZ1</v>
      </c>
      <c r="O1480" t="s">
        <v>355</v>
      </c>
      <c r="P1480" t="s">
        <v>75</v>
      </c>
      <c r="Q1480">
        <v>2016</v>
      </c>
      <c r="R1480" s="4">
        <v>42702</v>
      </c>
      <c r="S1480" s="2">
        <v>42702</v>
      </c>
      <c r="T1480" s="2">
        <v>42702</v>
      </c>
      <c r="U1480" s="4">
        <v>42762</v>
      </c>
      <c r="V1480" t="s">
        <v>71</v>
      </c>
      <c r="W1480" t="str">
        <f>"        FE/2016/2048"</f>
        <v xml:space="preserve">        FE/2016/2048</v>
      </c>
      <c r="X1480" s="1">
        <v>27122</v>
      </c>
      <c r="Y1480">
        <v>0</v>
      </c>
      <c r="Z1480" s="5">
        <v>27122</v>
      </c>
      <c r="AA1480" s="3">
        <v>3</v>
      </c>
      <c r="AB1480" s="5">
        <v>81366</v>
      </c>
      <c r="AC1480" s="1">
        <v>27122</v>
      </c>
      <c r="AD1480">
        <v>3</v>
      </c>
      <c r="AE1480" s="1">
        <v>81366</v>
      </c>
      <c r="AF1480">
        <v>0</v>
      </c>
      <c r="AJ1480">
        <v>0</v>
      </c>
      <c r="AK1480">
        <v>0</v>
      </c>
      <c r="AL1480">
        <v>0</v>
      </c>
      <c r="AM1480">
        <v>0</v>
      </c>
      <c r="AN1480">
        <v>0</v>
      </c>
      <c r="AO1480">
        <v>0</v>
      </c>
      <c r="AP1480" s="2">
        <v>42831</v>
      </c>
      <c r="AQ1480" t="s">
        <v>72</v>
      </c>
      <c r="AR1480" t="s">
        <v>72</v>
      </c>
      <c r="AS1480">
        <v>149</v>
      </c>
      <c r="AT1480" s="4">
        <v>42765</v>
      </c>
      <c r="AU1480" t="s">
        <v>73</v>
      </c>
      <c r="AV1480">
        <v>149</v>
      </c>
      <c r="AW1480" s="4">
        <v>42765</v>
      </c>
      <c r="BD1480">
        <v>0</v>
      </c>
      <c r="BN1480" t="s">
        <v>74</v>
      </c>
    </row>
    <row r="1481" spans="1:66">
      <c r="A1481">
        <v>103072</v>
      </c>
      <c r="B1481" t="s">
        <v>353</v>
      </c>
      <c r="C1481" s="1">
        <v>43201201</v>
      </c>
      <c r="D1481" t="s">
        <v>354</v>
      </c>
      <c r="H1481" t="str">
        <f t="shared" si="195"/>
        <v>01009680628</v>
      </c>
      <c r="I1481" t="str">
        <f t="shared" si="195"/>
        <v>01009680628</v>
      </c>
      <c r="K1481" t="str">
        <f>""</f>
        <v/>
      </c>
      <c r="M1481" t="s">
        <v>68</v>
      </c>
      <c r="N1481" t="str">
        <f t="shared" si="196"/>
        <v>AZ1</v>
      </c>
      <c r="O1481" t="s">
        <v>355</v>
      </c>
      <c r="P1481" t="s">
        <v>75</v>
      </c>
      <c r="Q1481">
        <v>2016</v>
      </c>
      <c r="R1481" s="4">
        <v>42702</v>
      </c>
      <c r="S1481" s="2">
        <v>42702</v>
      </c>
      <c r="T1481" s="2">
        <v>42702</v>
      </c>
      <c r="U1481" s="4">
        <v>42762</v>
      </c>
      <c r="V1481" t="s">
        <v>71</v>
      </c>
      <c r="W1481" t="str">
        <f>"        FE/2016/2050"</f>
        <v xml:space="preserve">        FE/2016/2050</v>
      </c>
      <c r="X1481" s="1">
        <v>19322</v>
      </c>
      <c r="Y1481">
        <v>0</v>
      </c>
      <c r="Z1481" s="5">
        <v>19322</v>
      </c>
      <c r="AA1481" s="3">
        <v>3</v>
      </c>
      <c r="AB1481" s="5">
        <v>57966</v>
      </c>
      <c r="AC1481" s="1">
        <v>19322</v>
      </c>
      <c r="AD1481">
        <v>3</v>
      </c>
      <c r="AE1481" s="1">
        <v>57966</v>
      </c>
      <c r="AF1481">
        <v>0</v>
      </c>
      <c r="AJ1481">
        <v>0</v>
      </c>
      <c r="AK1481">
        <v>0</v>
      </c>
      <c r="AL1481">
        <v>0</v>
      </c>
      <c r="AM1481">
        <v>0</v>
      </c>
      <c r="AN1481">
        <v>0</v>
      </c>
      <c r="AO1481">
        <v>0</v>
      </c>
      <c r="AP1481" s="2">
        <v>42831</v>
      </c>
      <c r="AQ1481" t="s">
        <v>72</v>
      </c>
      <c r="AR1481" t="s">
        <v>72</v>
      </c>
      <c r="AS1481">
        <v>149</v>
      </c>
      <c r="AT1481" s="4">
        <v>42765</v>
      </c>
      <c r="AU1481" t="s">
        <v>73</v>
      </c>
      <c r="AV1481">
        <v>149</v>
      </c>
      <c r="AW1481" s="4">
        <v>42765</v>
      </c>
      <c r="BD1481">
        <v>0</v>
      </c>
      <c r="BN1481" t="s">
        <v>74</v>
      </c>
    </row>
    <row r="1482" spans="1:66">
      <c r="A1482">
        <v>103077</v>
      </c>
      <c r="B1482" t="s">
        <v>356</v>
      </c>
      <c r="C1482" s="1">
        <v>43300101</v>
      </c>
      <c r="D1482" t="s">
        <v>67</v>
      </c>
      <c r="H1482" t="str">
        <f>"00962280590"</f>
        <v>00962280590</v>
      </c>
      <c r="I1482" t="str">
        <f>"02707070963"</f>
        <v>02707070963</v>
      </c>
      <c r="K1482" t="str">
        <f>""</f>
        <v/>
      </c>
      <c r="M1482" t="s">
        <v>68</v>
      </c>
      <c r="N1482" t="str">
        <f t="shared" ref="N1482:N1513" si="197">"FOR"</f>
        <v>FOR</v>
      </c>
      <c r="O1482" t="s">
        <v>69</v>
      </c>
      <c r="P1482" t="s">
        <v>75</v>
      </c>
      <c r="Q1482">
        <v>2016</v>
      </c>
      <c r="R1482" s="4">
        <v>42439</v>
      </c>
      <c r="S1482" s="2">
        <v>42443</v>
      </c>
      <c r="T1482" s="2">
        <v>42441</v>
      </c>
      <c r="U1482" s="4">
        <v>42501</v>
      </c>
      <c r="V1482" t="s">
        <v>71</v>
      </c>
      <c r="W1482" t="str">
        <f>"          8716117976"</f>
        <v xml:space="preserve">          8716117976</v>
      </c>
      <c r="X1482" s="1">
        <v>6955.52</v>
      </c>
      <c r="Y1482">
        <v>0</v>
      </c>
      <c r="Z1482" s="5">
        <v>6323.2</v>
      </c>
      <c r="AA1482" s="3">
        <v>267</v>
      </c>
      <c r="AB1482" s="5">
        <v>1688294.3999999999</v>
      </c>
      <c r="AC1482" s="1">
        <v>6323.2</v>
      </c>
      <c r="AD1482">
        <v>267</v>
      </c>
      <c r="AE1482" s="1">
        <v>1688294.3999999999</v>
      </c>
      <c r="AF1482">
        <v>0</v>
      </c>
      <c r="AJ1482">
        <v>0</v>
      </c>
      <c r="AK1482">
        <v>0</v>
      </c>
      <c r="AL1482">
        <v>0</v>
      </c>
      <c r="AM1482">
        <v>0</v>
      </c>
      <c r="AN1482">
        <v>0</v>
      </c>
      <c r="AO1482">
        <v>0</v>
      </c>
      <c r="AP1482" s="2">
        <v>42831</v>
      </c>
      <c r="AQ1482" t="s">
        <v>72</v>
      </c>
      <c r="AR1482" t="s">
        <v>72</v>
      </c>
      <c r="AS1482">
        <v>229</v>
      </c>
      <c r="AT1482" s="4">
        <v>42768</v>
      </c>
      <c r="AU1482" t="s">
        <v>73</v>
      </c>
      <c r="AV1482">
        <v>229</v>
      </c>
      <c r="AW1482" s="4">
        <v>42768</v>
      </c>
      <c r="BD1482">
        <v>0</v>
      </c>
      <c r="BN1482" t="s">
        <v>74</v>
      </c>
    </row>
    <row r="1483" spans="1:66">
      <c r="A1483">
        <v>103077</v>
      </c>
      <c r="B1483" t="s">
        <v>356</v>
      </c>
      <c r="C1483" s="1">
        <v>43300101</v>
      </c>
      <c r="D1483" t="s">
        <v>67</v>
      </c>
      <c r="H1483" t="str">
        <f>"00962280590"</f>
        <v>00962280590</v>
      </c>
      <c r="I1483" t="str">
        <f>"02707070963"</f>
        <v>02707070963</v>
      </c>
      <c r="K1483" t="str">
        <f>""</f>
        <v/>
      </c>
      <c r="M1483" t="s">
        <v>68</v>
      </c>
      <c r="N1483" t="str">
        <f t="shared" si="197"/>
        <v>FOR</v>
      </c>
      <c r="O1483" t="s">
        <v>69</v>
      </c>
      <c r="P1483" t="s">
        <v>75</v>
      </c>
      <c r="Q1483">
        <v>2016</v>
      </c>
      <c r="R1483" s="4">
        <v>42467</v>
      </c>
      <c r="S1483" s="2">
        <v>42473</v>
      </c>
      <c r="T1483" s="2">
        <v>42468</v>
      </c>
      <c r="U1483" s="4">
        <v>42528</v>
      </c>
      <c r="V1483" t="s">
        <v>71</v>
      </c>
      <c r="W1483" t="str">
        <f>"          8716126190"</f>
        <v xml:space="preserve">          8716126190</v>
      </c>
      <c r="X1483" s="1">
        <v>3477.76</v>
      </c>
      <c r="Y1483">
        <v>0</v>
      </c>
      <c r="Z1483" s="5">
        <v>3161.6</v>
      </c>
      <c r="AA1483" s="3">
        <v>253</v>
      </c>
      <c r="AB1483" s="5">
        <v>799884.80000000005</v>
      </c>
      <c r="AC1483" s="1">
        <v>3161.6</v>
      </c>
      <c r="AD1483">
        <v>253</v>
      </c>
      <c r="AE1483" s="1">
        <v>799884.80000000005</v>
      </c>
      <c r="AF1483">
        <v>0</v>
      </c>
      <c r="AJ1483">
        <v>0</v>
      </c>
      <c r="AK1483">
        <v>0</v>
      </c>
      <c r="AL1483">
        <v>0</v>
      </c>
      <c r="AM1483">
        <v>0</v>
      </c>
      <c r="AN1483">
        <v>0</v>
      </c>
      <c r="AO1483">
        <v>0</v>
      </c>
      <c r="AP1483" s="2">
        <v>42831</v>
      </c>
      <c r="AQ1483" t="s">
        <v>72</v>
      </c>
      <c r="AR1483" t="s">
        <v>72</v>
      </c>
      <c r="AS1483">
        <v>448</v>
      </c>
      <c r="AT1483" s="4">
        <v>42781</v>
      </c>
      <c r="AU1483" t="s">
        <v>73</v>
      </c>
      <c r="AV1483">
        <v>448</v>
      </c>
      <c r="AW1483" s="4">
        <v>42781</v>
      </c>
      <c r="BD1483">
        <v>0</v>
      </c>
      <c r="BN1483" t="s">
        <v>74</v>
      </c>
    </row>
    <row r="1484" spans="1:66">
      <c r="A1484">
        <v>103077</v>
      </c>
      <c r="B1484" t="s">
        <v>356</v>
      </c>
      <c r="C1484" s="1">
        <v>43300101</v>
      </c>
      <c r="D1484" t="s">
        <v>67</v>
      </c>
      <c r="H1484" t="str">
        <f>"00962280590"</f>
        <v>00962280590</v>
      </c>
      <c r="I1484" t="str">
        <f>"02707070963"</f>
        <v>02707070963</v>
      </c>
      <c r="K1484" t="str">
        <f>""</f>
        <v/>
      </c>
      <c r="M1484" t="s">
        <v>68</v>
      </c>
      <c r="N1484" t="str">
        <f t="shared" si="197"/>
        <v>FOR</v>
      </c>
      <c r="O1484" t="s">
        <v>69</v>
      </c>
      <c r="P1484" t="s">
        <v>75</v>
      </c>
      <c r="Q1484">
        <v>2016</v>
      </c>
      <c r="R1484" s="4">
        <v>42488</v>
      </c>
      <c r="S1484" s="2">
        <v>42492</v>
      </c>
      <c r="T1484" s="2">
        <v>42489</v>
      </c>
      <c r="U1484" s="4">
        <v>42549</v>
      </c>
      <c r="V1484" t="s">
        <v>71</v>
      </c>
      <c r="W1484" t="str">
        <f>"          8716132043"</f>
        <v xml:space="preserve">          8716132043</v>
      </c>
      <c r="X1484" s="1">
        <v>6955.52</v>
      </c>
      <c r="Y1484">
        <v>0</v>
      </c>
      <c r="Z1484" s="5">
        <v>6323.2</v>
      </c>
      <c r="AA1484" s="3">
        <v>232</v>
      </c>
      <c r="AB1484" s="5">
        <v>1466982.3999999999</v>
      </c>
      <c r="AC1484" s="1">
        <v>6323.2</v>
      </c>
      <c r="AD1484">
        <v>232</v>
      </c>
      <c r="AE1484" s="1">
        <v>1466982.3999999999</v>
      </c>
      <c r="AF1484">
        <v>0</v>
      </c>
      <c r="AJ1484">
        <v>0</v>
      </c>
      <c r="AK1484">
        <v>0</v>
      </c>
      <c r="AL1484">
        <v>0</v>
      </c>
      <c r="AM1484">
        <v>0</v>
      </c>
      <c r="AN1484">
        <v>0</v>
      </c>
      <c r="AO1484">
        <v>0</v>
      </c>
      <c r="AP1484" s="2">
        <v>42831</v>
      </c>
      <c r="AQ1484" t="s">
        <v>72</v>
      </c>
      <c r="AR1484" t="s">
        <v>72</v>
      </c>
      <c r="AS1484">
        <v>448</v>
      </c>
      <c r="AT1484" s="4">
        <v>42781</v>
      </c>
      <c r="AU1484" t="s">
        <v>73</v>
      </c>
      <c r="AV1484">
        <v>448</v>
      </c>
      <c r="AW1484" s="4">
        <v>42781</v>
      </c>
      <c r="BD1484">
        <v>0</v>
      </c>
      <c r="BN1484" t="s">
        <v>74</v>
      </c>
    </row>
    <row r="1485" spans="1:66">
      <c r="A1485">
        <v>103288</v>
      </c>
      <c r="B1485" t="s">
        <v>357</v>
      </c>
      <c r="C1485" s="1">
        <v>43300101</v>
      </c>
      <c r="D1485" t="s">
        <v>67</v>
      </c>
      <c r="H1485" t="str">
        <f>""</f>
        <v/>
      </c>
      <c r="I1485" t="str">
        <f>"02518990284"</f>
        <v>02518990284</v>
      </c>
      <c r="K1485" t="str">
        <f>""</f>
        <v/>
      </c>
      <c r="M1485" t="s">
        <v>68</v>
      </c>
      <c r="N1485" t="str">
        <f t="shared" si="197"/>
        <v>FOR</v>
      </c>
      <c r="O1485" t="s">
        <v>69</v>
      </c>
      <c r="P1485" t="s">
        <v>75</v>
      </c>
      <c r="Q1485">
        <v>2016</v>
      </c>
      <c r="R1485" s="4">
        <v>42622</v>
      </c>
      <c r="S1485" s="2">
        <v>42632</v>
      </c>
      <c r="T1485" s="2">
        <v>42632</v>
      </c>
      <c r="U1485" s="4">
        <v>42692</v>
      </c>
      <c r="V1485" t="s">
        <v>71</v>
      </c>
      <c r="W1485" t="str">
        <f>"              E-4223"</f>
        <v xml:space="preserve">              E-4223</v>
      </c>
      <c r="X1485" s="1">
        <v>1518.75</v>
      </c>
      <c r="Y1485">
        <v>0</v>
      </c>
      <c r="Z1485" s="5">
        <v>1244.8800000000001</v>
      </c>
      <c r="AA1485" s="3">
        <v>91</v>
      </c>
      <c r="AB1485" s="5">
        <v>113284.08</v>
      </c>
      <c r="AC1485" s="1">
        <v>1244.8800000000001</v>
      </c>
      <c r="AD1485">
        <v>91</v>
      </c>
      <c r="AE1485" s="1">
        <v>113284.08</v>
      </c>
      <c r="AF1485">
        <v>0</v>
      </c>
      <c r="AJ1485">
        <v>0</v>
      </c>
      <c r="AK1485">
        <v>0</v>
      </c>
      <c r="AL1485">
        <v>0</v>
      </c>
      <c r="AM1485">
        <v>0</v>
      </c>
      <c r="AN1485">
        <v>0</v>
      </c>
      <c r="AO1485">
        <v>0</v>
      </c>
      <c r="AP1485" s="2">
        <v>42831</v>
      </c>
      <c r="AQ1485" t="s">
        <v>72</v>
      </c>
      <c r="AR1485" t="s">
        <v>72</v>
      </c>
      <c r="AS1485">
        <v>493</v>
      </c>
      <c r="AT1485" s="4">
        <v>42783</v>
      </c>
      <c r="AU1485" t="s">
        <v>73</v>
      </c>
      <c r="AV1485">
        <v>493</v>
      </c>
      <c r="AW1485" s="4">
        <v>42783</v>
      </c>
      <c r="BD1485">
        <v>0</v>
      </c>
      <c r="BN1485" t="s">
        <v>74</v>
      </c>
    </row>
    <row r="1486" spans="1:66">
      <c r="A1486">
        <v>103351</v>
      </c>
      <c r="B1486" t="s">
        <v>358</v>
      </c>
      <c r="C1486" s="1">
        <v>43300101</v>
      </c>
      <c r="D1486" t="s">
        <v>67</v>
      </c>
      <c r="H1486" t="str">
        <f t="shared" ref="H1486:I1489" si="198">"00924251002"</f>
        <v>00924251002</v>
      </c>
      <c r="I1486" t="str">
        <f t="shared" si="198"/>
        <v>00924251002</v>
      </c>
      <c r="K1486" t="str">
        <f>""</f>
        <v/>
      </c>
      <c r="M1486" t="s">
        <v>68</v>
      </c>
      <c r="N1486" t="str">
        <f t="shared" si="197"/>
        <v>FOR</v>
      </c>
      <c r="O1486" t="s">
        <v>69</v>
      </c>
      <c r="P1486" t="s">
        <v>75</v>
      </c>
      <c r="Q1486">
        <v>2016</v>
      </c>
      <c r="R1486" s="4">
        <v>42446</v>
      </c>
      <c r="S1486" s="2">
        <v>42447</v>
      </c>
      <c r="T1486" s="2">
        <v>42446</v>
      </c>
      <c r="U1486" s="4">
        <v>42506</v>
      </c>
      <c r="V1486" t="s">
        <v>71</v>
      </c>
      <c r="W1486" t="str">
        <f>"          16VPA00944"</f>
        <v xml:space="preserve">          16VPA00944</v>
      </c>
      <c r="X1486" s="1">
        <v>1617.88</v>
      </c>
      <c r="Y1486">
        <v>0</v>
      </c>
      <c r="Z1486" s="5">
        <v>1470.8</v>
      </c>
      <c r="AA1486" s="3">
        <v>260</v>
      </c>
      <c r="AB1486" s="5">
        <v>382408</v>
      </c>
      <c r="AC1486" s="1">
        <v>1470.8</v>
      </c>
      <c r="AD1486">
        <v>260</v>
      </c>
      <c r="AE1486" s="1">
        <v>382408</v>
      </c>
      <c r="AF1486">
        <v>0</v>
      </c>
      <c r="AJ1486">
        <v>0</v>
      </c>
      <c r="AK1486">
        <v>0</v>
      </c>
      <c r="AL1486">
        <v>0</v>
      </c>
      <c r="AM1486">
        <v>0</v>
      </c>
      <c r="AN1486">
        <v>0</v>
      </c>
      <c r="AO1486">
        <v>0</v>
      </c>
      <c r="AP1486" s="2">
        <v>42831</v>
      </c>
      <c r="AQ1486" t="s">
        <v>72</v>
      </c>
      <c r="AR1486" t="s">
        <v>72</v>
      </c>
      <c r="AS1486">
        <v>175</v>
      </c>
      <c r="AT1486" s="4">
        <v>42766</v>
      </c>
      <c r="AU1486" t="s">
        <v>73</v>
      </c>
      <c r="AV1486">
        <v>175</v>
      </c>
      <c r="AW1486" s="4">
        <v>42766</v>
      </c>
      <c r="BD1486">
        <v>0</v>
      </c>
      <c r="BN1486" t="s">
        <v>74</v>
      </c>
    </row>
    <row r="1487" spans="1:66">
      <c r="A1487">
        <v>103351</v>
      </c>
      <c r="B1487" t="s">
        <v>358</v>
      </c>
      <c r="C1487" s="1">
        <v>43300101</v>
      </c>
      <c r="D1487" t="s">
        <v>67</v>
      </c>
      <c r="H1487" t="str">
        <f t="shared" si="198"/>
        <v>00924251002</v>
      </c>
      <c r="I1487" t="str">
        <f t="shared" si="198"/>
        <v>00924251002</v>
      </c>
      <c r="K1487" t="str">
        <f>""</f>
        <v/>
      </c>
      <c r="M1487" t="s">
        <v>68</v>
      </c>
      <c r="N1487" t="str">
        <f t="shared" si="197"/>
        <v>FOR</v>
      </c>
      <c r="O1487" t="s">
        <v>69</v>
      </c>
      <c r="P1487" t="s">
        <v>75</v>
      </c>
      <c r="Q1487">
        <v>2016</v>
      </c>
      <c r="R1487" s="4">
        <v>42566</v>
      </c>
      <c r="S1487" s="2">
        <v>42571</v>
      </c>
      <c r="T1487" s="2">
        <v>42568</v>
      </c>
      <c r="U1487" s="4">
        <v>42628</v>
      </c>
      <c r="V1487" t="s">
        <v>71</v>
      </c>
      <c r="W1487" t="str">
        <f>"          16VPA02407"</f>
        <v xml:space="preserve">          16VPA02407</v>
      </c>
      <c r="X1487">
        <v>404.47</v>
      </c>
      <c r="Y1487">
        <v>0</v>
      </c>
      <c r="Z1487" s="5">
        <v>367.7</v>
      </c>
      <c r="AA1487" s="3">
        <v>140</v>
      </c>
      <c r="AB1487" s="5">
        <v>51478</v>
      </c>
      <c r="AC1487">
        <v>367.7</v>
      </c>
      <c r="AD1487">
        <v>140</v>
      </c>
      <c r="AE1487" s="1">
        <v>51478</v>
      </c>
      <c r="AF1487">
        <v>0</v>
      </c>
      <c r="AJ1487">
        <v>0</v>
      </c>
      <c r="AK1487">
        <v>0</v>
      </c>
      <c r="AL1487">
        <v>0</v>
      </c>
      <c r="AM1487">
        <v>0</v>
      </c>
      <c r="AN1487">
        <v>0</v>
      </c>
      <c r="AO1487">
        <v>0</v>
      </c>
      <c r="AP1487" s="2">
        <v>42831</v>
      </c>
      <c r="AQ1487" t="s">
        <v>72</v>
      </c>
      <c r="AR1487" t="s">
        <v>72</v>
      </c>
      <c r="AS1487">
        <v>286</v>
      </c>
      <c r="AT1487" s="4">
        <v>42768</v>
      </c>
      <c r="AU1487" t="s">
        <v>73</v>
      </c>
      <c r="AV1487">
        <v>286</v>
      </c>
      <c r="AW1487" s="4">
        <v>42768</v>
      </c>
      <c r="BD1487">
        <v>0</v>
      </c>
      <c r="BN1487" t="s">
        <v>74</v>
      </c>
    </row>
    <row r="1488" spans="1:66">
      <c r="A1488">
        <v>103351</v>
      </c>
      <c r="B1488" t="s">
        <v>358</v>
      </c>
      <c r="C1488" s="1">
        <v>43300101</v>
      </c>
      <c r="D1488" t="s">
        <v>67</v>
      </c>
      <c r="H1488" t="str">
        <f t="shared" si="198"/>
        <v>00924251002</v>
      </c>
      <c r="I1488" t="str">
        <f t="shared" si="198"/>
        <v>00924251002</v>
      </c>
      <c r="K1488" t="str">
        <f>""</f>
        <v/>
      </c>
      <c r="M1488" t="s">
        <v>68</v>
      </c>
      <c r="N1488" t="str">
        <f t="shared" si="197"/>
        <v>FOR</v>
      </c>
      <c r="O1488" t="s">
        <v>69</v>
      </c>
      <c r="P1488" t="s">
        <v>75</v>
      </c>
      <c r="Q1488">
        <v>2016</v>
      </c>
      <c r="R1488" s="4">
        <v>42627</v>
      </c>
      <c r="S1488" s="2">
        <v>42627</v>
      </c>
      <c r="T1488" s="2">
        <v>42627</v>
      </c>
      <c r="U1488" s="4">
        <v>42687</v>
      </c>
      <c r="V1488" t="s">
        <v>71</v>
      </c>
      <c r="W1488" t="str">
        <f>"          16VPA02938"</f>
        <v xml:space="preserve">          16VPA02938</v>
      </c>
      <c r="X1488">
        <v>808.94</v>
      </c>
      <c r="Y1488">
        <v>0</v>
      </c>
      <c r="Z1488" s="5">
        <v>735.4</v>
      </c>
      <c r="AA1488" s="3">
        <v>81</v>
      </c>
      <c r="AB1488" s="5">
        <v>59567.4</v>
      </c>
      <c r="AC1488">
        <v>735.4</v>
      </c>
      <c r="AD1488">
        <v>81</v>
      </c>
      <c r="AE1488" s="1">
        <v>59567.4</v>
      </c>
      <c r="AF1488">
        <v>0</v>
      </c>
      <c r="AJ1488">
        <v>0</v>
      </c>
      <c r="AK1488">
        <v>0</v>
      </c>
      <c r="AL1488">
        <v>0</v>
      </c>
      <c r="AM1488">
        <v>0</v>
      </c>
      <c r="AN1488">
        <v>0</v>
      </c>
      <c r="AO1488">
        <v>0</v>
      </c>
      <c r="AP1488" s="2">
        <v>42831</v>
      </c>
      <c r="AQ1488" t="s">
        <v>72</v>
      </c>
      <c r="AR1488" t="s">
        <v>72</v>
      </c>
      <c r="AS1488">
        <v>286</v>
      </c>
      <c r="AT1488" s="4">
        <v>42768</v>
      </c>
      <c r="AU1488" t="s">
        <v>73</v>
      </c>
      <c r="AV1488">
        <v>286</v>
      </c>
      <c r="AW1488" s="4">
        <v>42768</v>
      </c>
      <c r="BD1488">
        <v>0</v>
      </c>
      <c r="BN1488" t="s">
        <v>74</v>
      </c>
    </row>
    <row r="1489" spans="1:66">
      <c r="A1489">
        <v>103351</v>
      </c>
      <c r="B1489" t="s">
        <v>358</v>
      </c>
      <c r="C1489" s="1">
        <v>43300101</v>
      </c>
      <c r="D1489" t="s">
        <v>67</v>
      </c>
      <c r="H1489" t="str">
        <f t="shared" si="198"/>
        <v>00924251002</v>
      </c>
      <c r="I1489" t="str">
        <f t="shared" si="198"/>
        <v>00924251002</v>
      </c>
      <c r="K1489" t="str">
        <f>""</f>
        <v/>
      </c>
      <c r="M1489" t="s">
        <v>68</v>
      </c>
      <c r="N1489" t="str">
        <f t="shared" si="197"/>
        <v>FOR</v>
      </c>
      <c r="O1489" t="s">
        <v>69</v>
      </c>
      <c r="P1489" t="s">
        <v>75</v>
      </c>
      <c r="Q1489">
        <v>2016</v>
      </c>
      <c r="R1489" s="4">
        <v>42711</v>
      </c>
      <c r="S1489" s="2">
        <v>42718</v>
      </c>
      <c r="T1489" s="2">
        <v>42711</v>
      </c>
      <c r="U1489" s="4">
        <v>42771</v>
      </c>
      <c r="V1489" t="s">
        <v>71</v>
      </c>
      <c r="W1489" t="str">
        <f>"          16VPA03885"</f>
        <v xml:space="preserve">          16VPA03885</v>
      </c>
      <c r="X1489">
        <v>808.94</v>
      </c>
      <c r="Y1489">
        <v>0</v>
      </c>
      <c r="Z1489" s="5">
        <v>735.4</v>
      </c>
      <c r="AA1489" s="3">
        <v>-3</v>
      </c>
      <c r="AB1489" s="5">
        <v>-2206.1999999999998</v>
      </c>
      <c r="AC1489">
        <v>735.4</v>
      </c>
      <c r="AD1489">
        <v>-3</v>
      </c>
      <c r="AE1489" s="1">
        <v>-2206.1999999999998</v>
      </c>
      <c r="AF1489">
        <v>0</v>
      </c>
      <c r="AJ1489">
        <v>0</v>
      </c>
      <c r="AK1489">
        <v>0</v>
      </c>
      <c r="AL1489">
        <v>0</v>
      </c>
      <c r="AM1489">
        <v>0</v>
      </c>
      <c r="AN1489">
        <v>0</v>
      </c>
      <c r="AO1489">
        <v>0</v>
      </c>
      <c r="AP1489" s="2">
        <v>42831</v>
      </c>
      <c r="AQ1489" t="s">
        <v>72</v>
      </c>
      <c r="AR1489" t="s">
        <v>72</v>
      </c>
      <c r="AS1489">
        <v>286</v>
      </c>
      <c r="AT1489" s="4">
        <v>42768</v>
      </c>
      <c r="AV1489">
        <v>286</v>
      </c>
      <c r="AW1489" s="4">
        <v>42768</v>
      </c>
      <c r="BD1489">
        <v>0</v>
      </c>
      <c r="BN1489" t="s">
        <v>74</v>
      </c>
    </row>
    <row r="1490" spans="1:66">
      <c r="A1490">
        <v>103365</v>
      </c>
      <c r="B1490" t="s">
        <v>359</v>
      </c>
      <c r="C1490" s="1">
        <v>43300101</v>
      </c>
      <c r="D1490" t="s">
        <v>67</v>
      </c>
      <c r="H1490" t="str">
        <f t="shared" ref="H1490:I1498" si="199">"00488410010"</f>
        <v>00488410010</v>
      </c>
      <c r="I1490" t="str">
        <f t="shared" si="199"/>
        <v>00488410010</v>
      </c>
      <c r="K1490" t="str">
        <f>""</f>
        <v/>
      </c>
      <c r="M1490" t="s">
        <v>68</v>
      </c>
      <c r="N1490" t="str">
        <f t="shared" si="197"/>
        <v>FOR</v>
      </c>
      <c r="O1490" t="s">
        <v>69</v>
      </c>
      <c r="P1490" t="s">
        <v>75</v>
      </c>
      <c r="Q1490">
        <v>2016</v>
      </c>
      <c r="R1490" s="4">
        <v>42719</v>
      </c>
      <c r="S1490" s="2">
        <v>42733</v>
      </c>
      <c r="T1490" s="2">
        <v>42732</v>
      </c>
      <c r="U1490" s="4">
        <v>42792</v>
      </c>
      <c r="V1490" t="s">
        <v>71</v>
      </c>
      <c r="W1490" t="str">
        <f>"          7X04848866"</f>
        <v xml:space="preserve">          7X04848866</v>
      </c>
      <c r="X1490">
        <v>349.44</v>
      </c>
      <c r="Y1490">
        <v>0</v>
      </c>
      <c r="Z1490" s="5">
        <v>286.43</v>
      </c>
      <c r="AA1490" s="3">
        <v>-26</v>
      </c>
      <c r="AB1490" s="5">
        <v>-7447.18</v>
      </c>
      <c r="AC1490">
        <v>286.43</v>
      </c>
      <c r="AD1490">
        <v>-26</v>
      </c>
      <c r="AE1490" s="1">
        <v>-7447.18</v>
      </c>
      <c r="AF1490">
        <v>0</v>
      </c>
      <c r="AJ1490">
        <v>0</v>
      </c>
      <c r="AK1490">
        <v>0</v>
      </c>
      <c r="AL1490">
        <v>0</v>
      </c>
      <c r="AM1490">
        <v>0</v>
      </c>
      <c r="AN1490">
        <v>0</v>
      </c>
      <c r="AO1490">
        <v>0</v>
      </c>
      <c r="AP1490" s="2">
        <v>42831</v>
      </c>
      <c r="AQ1490" t="s">
        <v>72</v>
      </c>
      <c r="AR1490" t="s">
        <v>72</v>
      </c>
      <c r="AS1490">
        <v>157</v>
      </c>
      <c r="AT1490" s="4">
        <v>42766</v>
      </c>
      <c r="AV1490">
        <v>157</v>
      </c>
      <c r="AW1490" s="4">
        <v>42766</v>
      </c>
      <c r="BD1490">
        <v>0</v>
      </c>
      <c r="BN1490" t="s">
        <v>74</v>
      </c>
    </row>
    <row r="1491" spans="1:66">
      <c r="A1491">
        <v>103365</v>
      </c>
      <c r="B1491" t="s">
        <v>359</v>
      </c>
      <c r="C1491" s="1">
        <v>43300101</v>
      </c>
      <c r="D1491" t="s">
        <v>67</v>
      </c>
      <c r="H1491" t="str">
        <f t="shared" si="199"/>
        <v>00488410010</v>
      </c>
      <c r="I1491" t="str">
        <f t="shared" si="199"/>
        <v>00488410010</v>
      </c>
      <c r="K1491" t="str">
        <f>""</f>
        <v/>
      </c>
      <c r="M1491" t="s">
        <v>68</v>
      </c>
      <c r="N1491" t="str">
        <f t="shared" si="197"/>
        <v>FOR</v>
      </c>
      <c r="O1491" t="s">
        <v>69</v>
      </c>
      <c r="P1491" t="s">
        <v>75</v>
      </c>
      <c r="Q1491">
        <v>2016</v>
      </c>
      <c r="R1491" s="4">
        <v>42719</v>
      </c>
      <c r="S1491" s="2">
        <v>42733</v>
      </c>
      <c r="T1491" s="2">
        <v>42732</v>
      </c>
      <c r="U1491" s="4">
        <v>42792</v>
      </c>
      <c r="V1491" t="s">
        <v>71</v>
      </c>
      <c r="W1491" t="str">
        <f>"          7X05102752"</f>
        <v xml:space="preserve">          7X05102752</v>
      </c>
      <c r="X1491" s="1">
        <v>2675.41</v>
      </c>
      <c r="Y1491">
        <v>0</v>
      </c>
      <c r="Z1491" s="5">
        <v>2435.98</v>
      </c>
      <c r="AA1491" s="3">
        <v>-26</v>
      </c>
      <c r="AB1491" s="5">
        <v>-63335.48</v>
      </c>
      <c r="AC1491" s="1">
        <v>2435.98</v>
      </c>
      <c r="AD1491">
        <v>-26</v>
      </c>
      <c r="AE1491" s="1">
        <v>-63335.48</v>
      </c>
      <c r="AF1491">
        <v>0</v>
      </c>
      <c r="AJ1491">
        <v>0</v>
      </c>
      <c r="AK1491">
        <v>0</v>
      </c>
      <c r="AL1491">
        <v>0</v>
      </c>
      <c r="AM1491">
        <v>0</v>
      </c>
      <c r="AN1491">
        <v>0</v>
      </c>
      <c r="AO1491">
        <v>0</v>
      </c>
      <c r="AP1491" s="2">
        <v>42831</v>
      </c>
      <c r="AQ1491" t="s">
        <v>72</v>
      </c>
      <c r="AR1491" t="s">
        <v>72</v>
      </c>
      <c r="AS1491">
        <v>157</v>
      </c>
      <c r="AT1491" s="4">
        <v>42766</v>
      </c>
      <c r="AV1491">
        <v>157</v>
      </c>
      <c r="AW1491" s="4">
        <v>42766</v>
      </c>
      <c r="BD1491">
        <v>0</v>
      </c>
      <c r="BN1491" t="s">
        <v>74</v>
      </c>
    </row>
    <row r="1492" spans="1:66">
      <c r="A1492">
        <v>103365</v>
      </c>
      <c r="B1492" t="s">
        <v>359</v>
      </c>
      <c r="C1492" s="1">
        <v>43300101</v>
      </c>
      <c r="D1492" t="s">
        <v>67</v>
      </c>
      <c r="H1492" t="str">
        <f t="shared" si="199"/>
        <v>00488410010</v>
      </c>
      <c r="I1492" t="str">
        <f t="shared" si="199"/>
        <v>00488410010</v>
      </c>
      <c r="K1492" t="str">
        <f>""</f>
        <v/>
      </c>
      <c r="M1492" t="s">
        <v>68</v>
      </c>
      <c r="N1492" t="str">
        <f t="shared" si="197"/>
        <v>FOR</v>
      </c>
      <c r="O1492" t="s">
        <v>69</v>
      </c>
      <c r="P1492" t="s">
        <v>75</v>
      </c>
      <c r="Q1492">
        <v>2016</v>
      </c>
      <c r="R1492" s="4">
        <v>42719</v>
      </c>
      <c r="S1492" s="2">
        <v>42733</v>
      </c>
      <c r="T1492" s="2">
        <v>42732</v>
      </c>
      <c r="U1492" s="4">
        <v>42792</v>
      </c>
      <c r="V1492" t="s">
        <v>71</v>
      </c>
      <c r="W1492" t="str">
        <f>"          7X05195580"</f>
        <v xml:space="preserve">          7X05195580</v>
      </c>
      <c r="X1492">
        <v>118.21</v>
      </c>
      <c r="Y1492">
        <v>0</v>
      </c>
      <c r="Z1492" s="5">
        <v>96.89</v>
      </c>
      <c r="AA1492" s="3">
        <v>-26</v>
      </c>
      <c r="AB1492" s="5">
        <v>-2519.14</v>
      </c>
      <c r="AC1492">
        <v>96.89</v>
      </c>
      <c r="AD1492">
        <v>-26</v>
      </c>
      <c r="AE1492" s="1">
        <v>-2519.14</v>
      </c>
      <c r="AF1492">
        <v>0</v>
      </c>
      <c r="AJ1492">
        <v>0</v>
      </c>
      <c r="AK1492">
        <v>0</v>
      </c>
      <c r="AL1492">
        <v>0</v>
      </c>
      <c r="AM1492">
        <v>0</v>
      </c>
      <c r="AN1492">
        <v>0</v>
      </c>
      <c r="AO1492">
        <v>0</v>
      </c>
      <c r="AP1492" s="2">
        <v>42831</v>
      </c>
      <c r="AQ1492" t="s">
        <v>72</v>
      </c>
      <c r="AR1492" t="s">
        <v>72</v>
      </c>
      <c r="AS1492">
        <v>157</v>
      </c>
      <c r="AT1492" s="4">
        <v>42766</v>
      </c>
      <c r="AV1492">
        <v>157</v>
      </c>
      <c r="AW1492" s="4">
        <v>42766</v>
      </c>
      <c r="BD1492">
        <v>0</v>
      </c>
      <c r="BN1492" t="s">
        <v>74</v>
      </c>
    </row>
    <row r="1493" spans="1:66">
      <c r="A1493">
        <v>103365</v>
      </c>
      <c r="B1493" t="s">
        <v>359</v>
      </c>
      <c r="C1493" s="1">
        <v>43300101</v>
      </c>
      <c r="D1493" t="s">
        <v>67</v>
      </c>
      <c r="H1493" t="str">
        <f t="shared" si="199"/>
        <v>00488410010</v>
      </c>
      <c r="I1493" t="str">
        <f t="shared" si="199"/>
        <v>00488410010</v>
      </c>
      <c r="K1493" t="str">
        <f>""</f>
        <v/>
      </c>
      <c r="M1493" t="s">
        <v>68</v>
      </c>
      <c r="N1493" t="str">
        <f t="shared" si="197"/>
        <v>FOR</v>
      </c>
      <c r="O1493" t="s">
        <v>69</v>
      </c>
      <c r="P1493" t="s">
        <v>75</v>
      </c>
      <c r="Q1493">
        <v>2017</v>
      </c>
      <c r="R1493" s="4">
        <v>42780</v>
      </c>
      <c r="S1493" s="2">
        <v>42797</v>
      </c>
      <c r="T1493" s="2">
        <v>42795</v>
      </c>
      <c r="U1493" s="4">
        <v>42855</v>
      </c>
      <c r="V1493" t="s">
        <v>71</v>
      </c>
      <c r="W1493" t="str">
        <f>"          7X00573895"</f>
        <v xml:space="preserve">          7X00573895</v>
      </c>
      <c r="X1493">
        <v>276.76</v>
      </c>
      <c r="Y1493">
        <v>0</v>
      </c>
      <c r="Z1493" s="5">
        <v>234.48</v>
      </c>
      <c r="AA1493" s="3">
        <v>-37</v>
      </c>
      <c r="AB1493" s="5">
        <v>-8675.76</v>
      </c>
      <c r="AC1493">
        <v>234.48</v>
      </c>
      <c r="AD1493">
        <v>-37</v>
      </c>
      <c r="AE1493" s="1">
        <v>-8675.76</v>
      </c>
      <c r="AF1493">
        <v>42.28</v>
      </c>
      <c r="AJ1493">
        <v>276.76</v>
      </c>
      <c r="AK1493">
        <v>276.76</v>
      </c>
      <c r="AL1493">
        <v>276.76</v>
      </c>
      <c r="AM1493">
        <v>276.76</v>
      </c>
      <c r="AN1493">
        <v>276.76</v>
      </c>
      <c r="AO1493">
        <v>276.76</v>
      </c>
      <c r="AP1493" s="2">
        <v>42831</v>
      </c>
      <c r="AQ1493" t="s">
        <v>72</v>
      </c>
      <c r="AR1493" t="s">
        <v>72</v>
      </c>
      <c r="AS1493">
        <v>897</v>
      </c>
      <c r="AT1493" s="4">
        <v>42818</v>
      </c>
      <c r="AV1493">
        <v>897</v>
      </c>
      <c r="AW1493" s="4">
        <v>42818</v>
      </c>
      <c r="BD1493">
        <v>0</v>
      </c>
      <c r="BF1493">
        <v>42.28</v>
      </c>
      <c r="BN1493" t="s">
        <v>74</v>
      </c>
    </row>
    <row r="1494" spans="1:66">
      <c r="A1494">
        <v>103365</v>
      </c>
      <c r="B1494" t="s">
        <v>359</v>
      </c>
      <c r="C1494" s="1">
        <v>43300101</v>
      </c>
      <c r="D1494" t="s">
        <v>67</v>
      </c>
      <c r="H1494" t="str">
        <f t="shared" si="199"/>
        <v>00488410010</v>
      </c>
      <c r="I1494" t="str">
        <f t="shared" si="199"/>
        <v>00488410010</v>
      </c>
      <c r="K1494" t="str">
        <f>""</f>
        <v/>
      </c>
      <c r="M1494" t="s">
        <v>68</v>
      </c>
      <c r="N1494" t="str">
        <f t="shared" si="197"/>
        <v>FOR</v>
      </c>
      <c r="O1494" t="s">
        <v>69</v>
      </c>
      <c r="P1494" t="s">
        <v>75</v>
      </c>
      <c r="Q1494">
        <v>2017</v>
      </c>
      <c r="R1494" s="4">
        <v>42780</v>
      </c>
      <c r="S1494" s="2">
        <v>42797</v>
      </c>
      <c r="T1494" s="2">
        <v>42795</v>
      </c>
      <c r="U1494" s="4">
        <v>42855</v>
      </c>
      <c r="V1494" t="s">
        <v>71</v>
      </c>
      <c r="W1494" t="str">
        <f>"          7X00884759"</f>
        <v xml:space="preserve">          7X00884759</v>
      </c>
      <c r="X1494">
        <v>113.61</v>
      </c>
      <c r="Y1494">
        <v>0</v>
      </c>
      <c r="Z1494" s="5">
        <v>93.2</v>
      </c>
      <c r="AA1494" s="3">
        <v>-37</v>
      </c>
      <c r="AB1494" s="5">
        <v>-3448.4</v>
      </c>
      <c r="AC1494">
        <v>93.2</v>
      </c>
      <c r="AD1494">
        <v>-37</v>
      </c>
      <c r="AE1494" s="1">
        <v>-3448.4</v>
      </c>
      <c r="AF1494">
        <v>20.41</v>
      </c>
      <c r="AJ1494">
        <v>113.61</v>
      </c>
      <c r="AK1494">
        <v>113.61</v>
      </c>
      <c r="AL1494">
        <v>113.61</v>
      </c>
      <c r="AM1494">
        <v>113.61</v>
      </c>
      <c r="AN1494">
        <v>113.61</v>
      </c>
      <c r="AO1494">
        <v>113.61</v>
      </c>
      <c r="AP1494" s="2">
        <v>42831</v>
      </c>
      <c r="AQ1494" t="s">
        <v>72</v>
      </c>
      <c r="AR1494" t="s">
        <v>72</v>
      </c>
      <c r="AS1494">
        <v>897</v>
      </c>
      <c r="AT1494" s="4">
        <v>42818</v>
      </c>
      <c r="AV1494">
        <v>897</v>
      </c>
      <c r="AW1494" s="4">
        <v>42818</v>
      </c>
      <c r="BD1494">
        <v>0</v>
      </c>
      <c r="BF1494">
        <v>20.41</v>
      </c>
      <c r="BN1494" t="s">
        <v>74</v>
      </c>
    </row>
    <row r="1495" spans="1:66">
      <c r="A1495">
        <v>103365</v>
      </c>
      <c r="B1495" t="s">
        <v>359</v>
      </c>
      <c r="C1495" s="1">
        <v>43300101</v>
      </c>
      <c r="D1495" t="s">
        <v>67</v>
      </c>
      <c r="H1495" t="str">
        <f t="shared" si="199"/>
        <v>00488410010</v>
      </c>
      <c r="I1495" t="str">
        <f t="shared" si="199"/>
        <v>00488410010</v>
      </c>
      <c r="K1495" t="str">
        <f>""</f>
        <v/>
      </c>
      <c r="M1495" t="s">
        <v>68</v>
      </c>
      <c r="N1495" t="str">
        <f t="shared" si="197"/>
        <v>FOR</v>
      </c>
      <c r="O1495" t="s">
        <v>69</v>
      </c>
      <c r="P1495" t="s">
        <v>75</v>
      </c>
      <c r="Q1495">
        <v>2017</v>
      </c>
      <c r="R1495" s="4">
        <v>42780</v>
      </c>
      <c r="S1495" s="2">
        <v>42797</v>
      </c>
      <c r="T1495" s="2">
        <v>42795</v>
      </c>
      <c r="U1495" s="4">
        <v>42855</v>
      </c>
      <c r="V1495" t="s">
        <v>71</v>
      </c>
      <c r="W1495" t="str">
        <f>"          7X00951824"</f>
        <v xml:space="preserve">          7X00951824</v>
      </c>
      <c r="X1495" s="1">
        <v>3011.39</v>
      </c>
      <c r="Y1495">
        <v>0</v>
      </c>
      <c r="Z1495" s="5">
        <v>2722.47</v>
      </c>
      <c r="AA1495" s="3">
        <v>-37</v>
      </c>
      <c r="AB1495" s="5">
        <v>-100731.39</v>
      </c>
      <c r="AC1495" s="1">
        <v>2722.47</v>
      </c>
      <c r="AD1495">
        <v>-37</v>
      </c>
      <c r="AE1495" s="1">
        <v>-100731.39</v>
      </c>
      <c r="AF1495">
        <v>288.92</v>
      </c>
      <c r="AJ1495" s="1">
        <v>3011.39</v>
      </c>
      <c r="AK1495" s="1">
        <v>3011.39</v>
      </c>
      <c r="AL1495" s="1">
        <v>3011.39</v>
      </c>
      <c r="AM1495" s="1">
        <v>3011.39</v>
      </c>
      <c r="AN1495" s="1">
        <v>3011.39</v>
      </c>
      <c r="AO1495" s="1">
        <v>3011.39</v>
      </c>
      <c r="AP1495" s="2">
        <v>42831</v>
      </c>
      <c r="AQ1495" t="s">
        <v>72</v>
      </c>
      <c r="AR1495" t="s">
        <v>72</v>
      </c>
      <c r="AS1495">
        <v>897</v>
      </c>
      <c r="AT1495" s="4">
        <v>42818</v>
      </c>
      <c r="AV1495">
        <v>897</v>
      </c>
      <c r="AW1495" s="4">
        <v>42818</v>
      </c>
      <c r="BD1495">
        <v>0</v>
      </c>
      <c r="BF1495">
        <v>288.92</v>
      </c>
      <c r="BN1495" t="s">
        <v>74</v>
      </c>
    </row>
    <row r="1496" spans="1:66">
      <c r="A1496">
        <v>103365</v>
      </c>
      <c r="B1496" t="s">
        <v>359</v>
      </c>
      <c r="C1496" s="1">
        <v>43300101</v>
      </c>
      <c r="D1496" t="s">
        <v>67</v>
      </c>
      <c r="H1496" t="str">
        <f t="shared" si="199"/>
        <v>00488410010</v>
      </c>
      <c r="I1496" t="str">
        <f t="shared" si="199"/>
        <v>00488410010</v>
      </c>
      <c r="K1496" t="str">
        <f>""</f>
        <v/>
      </c>
      <c r="M1496" t="s">
        <v>68</v>
      </c>
      <c r="N1496" t="str">
        <f t="shared" si="197"/>
        <v>FOR</v>
      </c>
      <c r="O1496" t="s">
        <v>69</v>
      </c>
      <c r="P1496" t="s">
        <v>75</v>
      </c>
      <c r="Q1496">
        <v>2017</v>
      </c>
      <c r="R1496" s="4">
        <v>42762</v>
      </c>
      <c r="S1496" s="2">
        <v>42767</v>
      </c>
      <c r="T1496" s="2">
        <v>42766</v>
      </c>
      <c r="U1496" s="4">
        <v>42826</v>
      </c>
      <c r="V1496" t="s">
        <v>71</v>
      </c>
      <c r="W1496" t="str">
        <f>"        301780010403"</f>
        <v xml:space="preserve">        301780010403</v>
      </c>
      <c r="X1496">
        <v>393.69</v>
      </c>
      <c r="Y1496">
        <v>0</v>
      </c>
      <c r="Z1496" s="5">
        <v>330.49</v>
      </c>
      <c r="AA1496" s="3">
        <v>-29</v>
      </c>
      <c r="AB1496" s="5">
        <v>-9584.2099999999991</v>
      </c>
      <c r="AC1496">
        <v>330.49</v>
      </c>
      <c r="AD1496">
        <v>-29</v>
      </c>
      <c r="AE1496" s="1">
        <v>-9584.2099999999991</v>
      </c>
      <c r="AF1496">
        <v>63.2</v>
      </c>
      <c r="AJ1496">
        <v>393.69</v>
      </c>
      <c r="AK1496">
        <v>393.69</v>
      </c>
      <c r="AL1496">
        <v>393.69</v>
      </c>
      <c r="AM1496">
        <v>393.69</v>
      </c>
      <c r="AN1496">
        <v>393.69</v>
      </c>
      <c r="AO1496">
        <v>393.69</v>
      </c>
      <c r="AP1496" s="2">
        <v>42831</v>
      </c>
      <c r="AQ1496" t="s">
        <v>72</v>
      </c>
      <c r="AR1496" t="s">
        <v>72</v>
      </c>
      <c r="AS1496">
        <v>705</v>
      </c>
      <c r="AT1496" s="4">
        <v>42797</v>
      </c>
      <c r="AV1496">
        <v>705</v>
      </c>
      <c r="AW1496" s="4">
        <v>42797</v>
      </c>
      <c r="BD1496">
        <v>0</v>
      </c>
      <c r="BF1496">
        <v>63.2</v>
      </c>
      <c r="BN1496" t="s">
        <v>74</v>
      </c>
    </row>
    <row r="1497" spans="1:66">
      <c r="A1497">
        <v>103365</v>
      </c>
      <c r="B1497" t="s">
        <v>359</v>
      </c>
      <c r="C1497" s="1">
        <v>43300101</v>
      </c>
      <c r="D1497" t="s">
        <v>67</v>
      </c>
      <c r="H1497" t="str">
        <f t="shared" si="199"/>
        <v>00488410010</v>
      </c>
      <c r="I1497" t="str">
        <f t="shared" si="199"/>
        <v>00488410010</v>
      </c>
      <c r="K1497" t="str">
        <f>""</f>
        <v/>
      </c>
      <c r="M1497" t="s">
        <v>68</v>
      </c>
      <c r="N1497" t="str">
        <f t="shared" si="197"/>
        <v>FOR</v>
      </c>
      <c r="O1497" t="s">
        <v>69</v>
      </c>
      <c r="P1497" t="s">
        <v>75</v>
      </c>
      <c r="Q1497">
        <v>2017</v>
      </c>
      <c r="R1497" s="4">
        <v>42768</v>
      </c>
      <c r="S1497" s="2">
        <v>42774</v>
      </c>
      <c r="T1497" s="2">
        <v>42773</v>
      </c>
      <c r="U1497" s="4">
        <v>42833</v>
      </c>
      <c r="V1497" t="s">
        <v>71</v>
      </c>
      <c r="W1497" t="str">
        <f>"        301780012148"</f>
        <v xml:space="preserve">        301780012148</v>
      </c>
      <c r="X1497" s="1">
        <v>2608.3200000000002</v>
      </c>
      <c r="Y1497">
        <v>0</v>
      </c>
      <c r="Z1497" s="5">
        <v>2385.1</v>
      </c>
      <c r="AA1497" s="3">
        <v>-36</v>
      </c>
      <c r="AB1497" s="5">
        <v>-85863.6</v>
      </c>
      <c r="AC1497" s="1">
        <v>2385.1</v>
      </c>
      <c r="AD1497">
        <v>-36</v>
      </c>
      <c r="AE1497" s="1">
        <v>-85863.6</v>
      </c>
      <c r="AF1497">
        <v>223.22</v>
      </c>
      <c r="AJ1497">
        <v>0</v>
      </c>
      <c r="AK1497" s="1">
        <v>2608.3200000000002</v>
      </c>
      <c r="AL1497" s="1">
        <v>2608.3200000000002</v>
      </c>
      <c r="AM1497">
        <v>0</v>
      </c>
      <c r="AN1497" s="1">
        <v>2608.3200000000002</v>
      </c>
      <c r="AO1497" s="1">
        <v>2608.3200000000002</v>
      </c>
      <c r="AP1497" s="2">
        <v>42831</v>
      </c>
      <c r="AQ1497" t="s">
        <v>72</v>
      </c>
      <c r="AR1497" t="s">
        <v>72</v>
      </c>
      <c r="AS1497">
        <v>705</v>
      </c>
      <c r="AT1497" s="4">
        <v>42797</v>
      </c>
      <c r="AV1497">
        <v>705</v>
      </c>
      <c r="AW1497" s="4">
        <v>42797</v>
      </c>
      <c r="BD1497">
        <v>0</v>
      </c>
      <c r="BF1497">
        <v>223.22</v>
      </c>
      <c r="BN1497" t="s">
        <v>74</v>
      </c>
    </row>
    <row r="1498" spans="1:66">
      <c r="A1498">
        <v>103365</v>
      </c>
      <c r="B1498" t="s">
        <v>359</v>
      </c>
      <c r="C1498" s="1">
        <v>43300101</v>
      </c>
      <c r="D1498" t="s">
        <v>67</v>
      </c>
      <c r="H1498" t="str">
        <f t="shared" si="199"/>
        <v>00488410010</v>
      </c>
      <c r="I1498" t="str">
        <f t="shared" si="199"/>
        <v>00488410010</v>
      </c>
      <c r="K1498" t="str">
        <f>""</f>
        <v/>
      </c>
      <c r="M1498" t="s">
        <v>68</v>
      </c>
      <c r="N1498" t="str">
        <f t="shared" si="197"/>
        <v>FOR</v>
      </c>
      <c r="O1498" t="s">
        <v>69</v>
      </c>
      <c r="P1498" t="s">
        <v>75</v>
      </c>
      <c r="Q1498">
        <v>2017</v>
      </c>
      <c r="R1498" s="4">
        <v>42773</v>
      </c>
      <c r="S1498" s="2">
        <v>42780</v>
      </c>
      <c r="T1498" s="2">
        <v>42776</v>
      </c>
      <c r="U1498" s="4">
        <v>42836</v>
      </c>
      <c r="V1498" t="s">
        <v>71</v>
      </c>
      <c r="W1498" t="str">
        <f>"        301780013118"</f>
        <v xml:space="preserve">        301780013118</v>
      </c>
      <c r="X1498" s="1">
        <v>2973.06</v>
      </c>
      <c r="Y1498">
        <v>0</v>
      </c>
      <c r="Z1498" s="5">
        <v>2686.61</v>
      </c>
      <c r="AA1498" s="3">
        <v>-18</v>
      </c>
      <c r="AB1498" s="5">
        <v>-48358.98</v>
      </c>
      <c r="AC1498" s="1">
        <v>2686.61</v>
      </c>
      <c r="AD1498">
        <v>-18</v>
      </c>
      <c r="AE1498" s="1">
        <v>-48358.98</v>
      </c>
      <c r="AF1498">
        <v>286.45</v>
      </c>
      <c r="AJ1498" s="1">
        <v>2973.06</v>
      </c>
      <c r="AK1498" s="1">
        <v>2973.06</v>
      </c>
      <c r="AL1498" s="1">
        <v>2973.06</v>
      </c>
      <c r="AM1498" s="1">
        <v>2973.06</v>
      </c>
      <c r="AN1498" s="1">
        <v>2973.06</v>
      </c>
      <c r="AO1498" s="1">
        <v>2973.06</v>
      </c>
      <c r="AP1498" s="2">
        <v>42831</v>
      </c>
      <c r="AQ1498" t="s">
        <v>72</v>
      </c>
      <c r="AR1498" t="s">
        <v>72</v>
      </c>
      <c r="AS1498">
        <v>897</v>
      </c>
      <c r="AT1498" s="4">
        <v>42818</v>
      </c>
      <c r="AV1498">
        <v>897</v>
      </c>
      <c r="AW1498" s="4">
        <v>42818</v>
      </c>
      <c r="BD1498">
        <v>0</v>
      </c>
      <c r="BF1498">
        <v>286.45</v>
      </c>
      <c r="BN1498" t="s">
        <v>74</v>
      </c>
    </row>
    <row r="1499" spans="1:66">
      <c r="A1499">
        <v>103538</v>
      </c>
      <c r="B1499" t="s">
        <v>360</v>
      </c>
      <c r="C1499" s="1">
        <v>43300101</v>
      </c>
      <c r="D1499" t="s">
        <v>67</v>
      </c>
      <c r="H1499" t="str">
        <f t="shared" ref="H1499:I1508" si="200">"11957290155"</f>
        <v>11957290155</v>
      </c>
      <c r="I1499" t="str">
        <f t="shared" si="200"/>
        <v>11957290155</v>
      </c>
      <c r="K1499" t="str">
        <f>""</f>
        <v/>
      </c>
      <c r="M1499" t="s">
        <v>68</v>
      </c>
      <c r="N1499" t="str">
        <f t="shared" si="197"/>
        <v>FOR</v>
      </c>
      <c r="O1499" t="s">
        <v>69</v>
      </c>
      <c r="P1499" t="s">
        <v>75</v>
      </c>
      <c r="Q1499">
        <v>2016</v>
      </c>
      <c r="R1499" s="4">
        <v>42430</v>
      </c>
      <c r="S1499" s="2">
        <v>42438</v>
      </c>
      <c r="T1499" s="2">
        <v>42436</v>
      </c>
      <c r="U1499" s="4">
        <v>42496</v>
      </c>
      <c r="V1499" t="s">
        <v>71</v>
      </c>
      <c r="W1499" t="str">
        <f>"       16/16VEN01975"</f>
        <v xml:space="preserve">       16/16VEN01975</v>
      </c>
      <c r="X1499">
        <v>160.38</v>
      </c>
      <c r="Y1499">
        <v>0</v>
      </c>
      <c r="Z1499" s="5">
        <v>145.80000000000001</v>
      </c>
      <c r="AA1499" s="3">
        <v>270</v>
      </c>
      <c r="AB1499" s="5">
        <v>39366</v>
      </c>
      <c r="AC1499">
        <v>145.80000000000001</v>
      </c>
      <c r="AD1499">
        <v>270</v>
      </c>
      <c r="AE1499" s="1">
        <v>39366</v>
      </c>
      <c r="AF1499">
        <v>0</v>
      </c>
      <c r="AJ1499">
        <v>0</v>
      </c>
      <c r="AK1499">
        <v>0</v>
      </c>
      <c r="AL1499">
        <v>0</v>
      </c>
      <c r="AM1499">
        <v>0</v>
      </c>
      <c r="AN1499">
        <v>0</v>
      </c>
      <c r="AO1499">
        <v>0</v>
      </c>
      <c r="AP1499" s="2">
        <v>42831</v>
      </c>
      <c r="AQ1499" t="s">
        <v>72</v>
      </c>
      <c r="AR1499" t="s">
        <v>72</v>
      </c>
      <c r="AS1499">
        <v>187</v>
      </c>
      <c r="AT1499" s="4">
        <v>42766</v>
      </c>
      <c r="AU1499" t="s">
        <v>73</v>
      </c>
      <c r="AV1499">
        <v>187</v>
      </c>
      <c r="AW1499" s="4">
        <v>42766</v>
      </c>
      <c r="BD1499">
        <v>0</v>
      </c>
      <c r="BN1499" t="s">
        <v>74</v>
      </c>
    </row>
    <row r="1500" spans="1:66">
      <c r="A1500">
        <v>103538</v>
      </c>
      <c r="B1500" t="s">
        <v>360</v>
      </c>
      <c r="C1500" s="1">
        <v>43300101</v>
      </c>
      <c r="D1500" t="s">
        <v>67</v>
      </c>
      <c r="H1500" t="str">
        <f t="shared" si="200"/>
        <v>11957290155</v>
      </c>
      <c r="I1500" t="str">
        <f t="shared" si="200"/>
        <v>11957290155</v>
      </c>
      <c r="K1500" t="str">
        <f>""</f>
        <v/>
      </c>
      <c r="M1500" t="s">
        <v>68</v>
      </c>
      <c r="N1500" t="str">
        <f t="shared" si="197"/>
        <v>FOR</v>
      </c>
      <c r="O1500" t="s">
        <v>69</v>
      </c>
      <c r="P1500" t="s">
        <v>75</v>
      </c>
      <c r="Q1500">
        <v>2016</v>
      </c>
      <c r="R1500" s="4">
        <v>42438</v>
      </c>
      <c r="S1500" s="2">
        <v>42446</v>
      </c>
      <c r="T1500" s="2">
        <v>42443</v>
      </c>
      <c r="U1500" s="4">
        <v>42503</v>
      </c>
      <c r="V1500" t="s">
        <v>71</v>
      </c>
      <c r="W1500" t="str">
        <f>"       16/16VEN02233"</f>
        <v xml:space="preserve">       16/16VEN02233</v>
      </c>
      <c r="X1500">
        <v>185.63</v>
      </c>
      <c r="Y1500">
        <v>0</v>
      </c>
      <c r="Z1500" s="5">
        <v>168.75</v>
      </c>
      <c r="AA1500" s="3">
        <v>263</v>
      </c>
      <c r="AB1500" s="5">
        <v>44381.25</v>
      </c>
      <c r="AC1500">
        <v>168.75</v>
      </c>
      <c r="AD1500">
        <v>263</v>
      </c>
      <c r="AE1500" s="1">
        <v>44381.25</v>
      </c>
      <c r="AF1500">
        <v>0</v>
      </c>
      <c r="AJ1500">
        <v>0</v>
      </c>
      <c r="AK1500">
        <v>0</v>
      </c>
      <c r="AL1500">
        <v>0</v>
      </c>
      <c r="AM1500">
        <v>0</v>
      </c>
      <c r="AN1500">
        <v>0</v>
      </c>
      <c r="AO1500">
        <v>0</v>
      </c>
      <c r="AP1500" s="2">
        <v>42831</v>
      </c>
      <c r="AQ1500" t="s">
        <v>72</v>
      </c>
      <c r="AR1500" t="s">
        <v>72</v>
      </c>
      <c r="AS1500">
        <v>187</v>
      </c>
      <c r="AT1500" s="4">
        <v>42766</v>
      </c>
      <c r="AU1500" t="s">
        <v>73</v>
      </c>
      <c r="AV1500">
        <v>187</v>
      </c>
      <c r="AW1500" s="4">
        <v>42766</v>
      </c>
      <c r="BD1500">
        <v>0</v>
      </c>
      <c r="BN1500" t="s">
        <v>74</v>
      </c>
    </row>
    <row r="1501" spans="1:66">
      <c r="A1501">
        <v>103538</v>
      </c>
      <c r="B1501" t="s">
        <v>360</v>
      </c>
      <c r="C1501" s="1">
        <v>43300101</v>
      </c>
      <c r="D1501" t="s">
        <v>67</v>
      </c>
      <c r="H1501" t="str">
        <f t="shared" si="200"/>
        <v>11957290155</v>
      </c>
      <c r="I1501" t="str">
        <f t="shared" si="200"/>
        <v>11957290155</v>
      </c>
      <c r="K1501" t="str">
        <f>""</f>
        <v/>
      </c>
      <c r="M1501" t="s">
        <v>68</v>
      </c>
      <c r="N1501" t="str">
        <f t="shared" si="197"/>
        <v>FOR</v>
      </c>
      <c r="O1501" t="s">
        <v>69</v>
      </c>
      <c r="P1501" t="s">
        <v>75</v>
      </c>
      <c r="Q1501">
        <v>2016</v>
      </c>
      <c r="R1501" s="4">
        <v>42488</v>
      </c>
      <c r="S1501" s="2">
        <v>42492</v>
      </c>
      <c r="T1501" s="2">
        <v>42489</v>
      </c>
      <c r="U1501" s="4">
        <v>42549</v>
      </c>
      <c r="V1501" t="s">
        <v>71</v>
      </c>
      <c r="W1501" t="str">
        <f>"       16/16VEN03866"</f>
        <v xml:space="preserve">       16/16VEN03866</v>
      </c>
      <c r="X1501">
        <v>74.25</v>
      </c>
      <c r="Y1501">
        <v>0</v>
      </c>
      <c r="Z1501" s="5">
        <v>67.5</v>
      </c>
      <c r="AA1501" s="3">
        <v>217</v>
      </c>
      <c r="AB1501" s="5">
        <v>14647.5</v>
      </c>
      <c r="AC1501">
        <v>67.5</v>
      </c>
      <c r="AD1501">
        <v>217</v>
      </c>
      <c r="AE1501" s="1">
        <v>14647.5</v>
      </c>
      <c r="AF1501">
        <v>0</v>
      </c>
      <c r="AJ1501">
        <v>0</v>
      </c>
      <c r="AK1501">
        <v>0</v>
      </c>
      <c r="AL1501">
        <v>0</v>
      </c>
      <c r="AM1501">
        <v>0</v>
      </c>
      <c r="AN1501">
        <v>0</v>
      </c>
      <c r="AO1501">
        <v>0</v>
      </c>
      <c r="AP1501" s="2">
        <v>42831</v>
      </c>
      <c r="AQ1501" t="s">
        <v>72</v>
      </c>
      <c r="AR1501" t="s">
        <v>72</v>
      </c>
      <c r="AS1501">
        <v>187</v>
      </c>
      <c r="AT1501" s="4">
        <v>42766</v>
      </c>
      <c r="AU1501" t="s">
        <v>73</v>
      </c>
      <c r="AV1501">
        <v>187</v>
      </c>
      <c r="AW1501" s="4">
        <v>42766</v>
      </c>
      <c r="BD1501">
        <v>0</v>
      </c>
      <c r="BN1501" t="s">
        <v>74</v>
      </c>
    </row>
    <row r="1502" spans="1:66">
      <c r="A1502">
        <v>103538</v>
      </c>
      <c r="B1502" t="s">
        <v>360</v>
      </c>
      <c r="C1502" s="1">
        <v>43300101</v>
      </c>
      <c r="D1502" t="s">
        <v>67</v>
      </c>
      <c r="H1502" t="str">
        <f t="shared" si="200"/>
        <v>11957290155</v>
      </c>
      <c r="I1502" t="str">
        <f t="shared" si="200"/>
        <v>11957290155</v>
      </c>
      <c r="K1502" t="str">
        <f>""</f>
        <v/>
      </c>
      <c r="M1502" t="s">
        <v>68</v>
      </c>
      <c r="N1502" t="str">
        <f t="shared" si="197"/>
        <v>FOR</v>
      </c>
      <c r="O1502" t="s">
        <v>69</v>
      </c>
      <c r="P1502" t="s">
        <v>75</v>
      </c>
      <c r="Q1502">
        <v>2016</v>
      </c>
      <c r="R1502" s="4">
        <v>42544</v>
      </c>
      <c r="S1502" s="2">
        <v>42550</v>
      </c>
      <c r="T1502" s="2">
        <v>42548</v>
      </c>
      <c r="U1502" s="4">
        <v>42608</v>
      </c>
      <c r="V1502" t="s">
        <v>71</v>
      </c>
      <c r="W1502" t="str">
        <f>"       16/16VEN05896"</f>
        <v xml:space="preserve">       16/16VEN05896</v>
      </c>
      <c r="X1502">
        <v>469.15</v>
      </c>
      <c r="Y1502">
        <v>0</v>
      </c>
      <c r="Z1502" s="5">
        <v>426.5</v>
      </c>
      <c r="AA1502" s="3">
        <v>160</v>
      </c>
      <c r="AB1502" s="5">
        <v>68240</v>
      </c>
      <c r="AC1502">
        <v>426.5</v>
      </c>
      <c r="AD1502">
        <v>160</v>
      </c>
      <c r="AE1502" s="1">
        <v>68240</v>
      </c>
      <c r="AF1502">
        <v>0</v>
      </c>
      <c r="AJ1502">
        <v>0</v>
      </c>
      <c r="AK1502">
        <v>0</v>
      </c>
      <c r="AL1502">
        <v>0</v>
      </c>
      <c r="AM1502">
        <v>0</v>
      </c>
      <c r="AN1502">
        <v>0</v>
      </c>
      <c r="AO1502">
        <v>0</v>
      </c>
      <c r="AP1502" s="2">
        <v>42831</v>
      </c>
      <c r="AQ1502" t="s">
        <v>72</v>
      </c>
      <c r="AR1502" t="s">
        <v>72</v>
      </c>
      <c r="AS1502">
        <v>291</v>
      </c>
      <c r="AT1502" s="4">
        <v>42768</v>
      </c>
      <c r="AU1502" t="s">
        <v>73</v>
      </c>
      <c r="AV1502">
        <v>291</v>
      </c>
      <c r="AW1502" s="4">
        <v>42768</v>
      </c>
      <c r="BD1502">
        <v>0</v>
      </c>
      <c r="BN1502" t="s">
        <v>74</v>
      </c>
    </row>
    <row r="1503" spans="1:66">
      <c r="A1503">
        <v>103538</v>
      </c>
      <c r="B1503" t="s">
        <v>360</v>
      </c>
      <c r="C1503" s="1">
        <v>43300101</v>
      </c>
      <c r="D1503" t="s">
        <v>67</v>
      </c>
      <c r="H1503" t="str">
        <f t="shared" si="200"/>
        <v>11957290155</v>
      </c>
      <c r="I1503" t="str">
        <f t="shared" si="200"/>
        <v>11957290155</v>
      </c>
      <c r="K1503" t="str">
        <f>""</f>
        <v/>
      </c>
      <c r="M1503" t="s">
        <v>68</v>
      </c>
      <c r="N1503" t="str">
        <f t="shared" si="197"/>
        <v>FOR</v>
      </c>
      <c r="O1503" t="s">
        <v>69</v>
      </c>
      <c r="P1503" t="s">
        <v>75</v>
      </c>
      <c r="Q1503">
        <v>2016</v>
      </c>
      <c r="R1503" s="4">
        <v>42577</v>
      </c>
      <c r="S1503" s="2">
        <v>42583</v>
      </c>
      <c r="T1503" s="2">
        <v>42579</v>
      </c>
      <c r="U1503" s="4">
        <v>42639</v>
      </c>
      <c r="V1503" t="s">
        <v>71</v>
      </c>
      <c r="W1503" t="str">
        <f>"       16/16VEN06903"</f>
        <v xml:space="preserve">       16/16VEN06903</v>
      </c>
      <c r="X1503">
        <v>365.2</v>
      </c>
      <c r="Y1503">
        <v>0</v>
      </c>
      <c r="Z1503" s="5">
        <v>332</v>
      </c>
      <c r="AA1503" s="3">
        <v>129</v>
      </c>
      <c r="AB1503" s="5">
        <v>42828</v>
      </c>
      <c r="AC1503">
        <v>332</v>
      </c>
      <c r="AD1503">
        <v>129</v>
      </c>
      <c r="AE1503" s="1">
        <v>42828</v>
      </c>
      <c r="AF1503">
        <v>0</v>
      </c>
      <c r="AJ1503">
        <v>0</v>
      </c>
      <c r="AK1503">
        <v>0</v>
      </c>
      <c r="AL1503">
        <v>0</v>
      </c>
      <c r="AM1503">
        <v>0</v>
      </c>
      <c r="AN1503">
        <v>0</v>
      </c>
      <c r="AO1503">
        <v>0</v>
      </c>
      <c r="AP1503" s="2">
        <v>42831</v>
      </c>
      <c r="AQ1503" t="s">
        <v>72</v>
      </c>
      <c r="AR1503" t="s">
        <v>72</v>
      </c>
      <c r="AS1503">
        <v>291</v>
      </c>
      <c r="AT1503" s="4">
        <v>42768</v>
      </c>
      <c r="AU1503" t="s">
        <v>73</v>
      </c>
      <c r="AV1503">
        <v>291</v>
      </c>
      <c r="AW1503" s="4">
        <v>42768</v>
      </c>
      <c r="BD1503">
        <v>0</v>
      </c>
      <c r="BN1503" t="s">
        <v>74</v>
      </c>
    </row>
    <row r="1504" spans="1:66">
      <c r="A1504">
        <v>103538</v>
      </c>
      <c r="B1504" t="s">
        <v>360</v>
      </c>
      <c r="C1504" s="1">
        <v>43300101</v>
      </c>
      <c r="D1504" t="s">
        <v>67</v>
      </c>
      <c r="H1504" t="str">
        <f t="shared" si="200"/>
        <v>11957290155</v>
      </c>
      <c r="I1504" t="str">
        <f t="shared" si="200"/>
        <v>11957290155</v>
      </c>
      <c r="K1504" t="str">
        <f>""</f>
        <v/>
      </c>
      <c r="M1504" t="s">
        <v>68</v>
      </c>
      <c r="N1504" t="str">
        <f t="shared" si="197"/>
        <v>FOR</v>
      </c>
      <c r="O1504" t="s">
        <v>69</v>
      </c>
      <c r="P1504" t="s">
        <v>75</v>
      </c>
      <c r="Q1504">
        <v>2016</v>
      </c>
      <c r="R1504" s="4">
        <v>42613</v>
      </c>
      <c r="S1504" s="2">
        <v>42620</v>
      </c>
      <c r="T1504" s="2">
        <v>42615</v>
      </c>
      <c r="U1504" s="4">
        <v>42675</v>
      </c>
      <c r="V1504" t="s">
        <v>71</v>
      </c>
      <c r="W1504" t="str">
        <f>"       16/16VEN07536"</f>
        <v xml:space="preserve">       16/16VEN07536</v>
      </c>
      <c r="X1504">
        <v>289.58</v>
      </c>
      <c r="Y1504">
        <v>0</v>
      </c>
      <c r="Z1504" s="5">
        <v>263.25</v>
      </c>
      <c r="AA1504" s="3">
        <v>93</v>
      </c>
      <c r="AB1504" s="5">
        <v>24482.25</v>
      </c>
      <c r="AC1504">
        <v>263.25</v>
      </c>
      <c r="AD1504">
        <v>93</v>
      </c>
      <c r="AE1504" s="1">
        <v>24482.25</v>
      </c>
      <c r="AF1504">
        <v>0</v>
      </c>
      <c r="AJ1504">
        <v>0</v>
      </c>
      <c r="AK1504">
        <v>0</v>
      </c>
      <c r="AL1504">
        <v>0</v>
      </c>
      <c r="AM1504">
        <v>0</v>
      </c>
      <c r="AN1504">
        <v>0</v>
      </c>
      <c r="AO1504">
        <v>0</v>
      </c>
      <c r="AP1504" s="2">
        <v>42831</v>
      </c>
      <c r="AQ1504" t="s">
        <v>72</v>
      </c>
      <c r="AR1504" t="s">
        <v>72</v>
      </c>
      <c r="AS1504">
        <v>291</v>
      </c>
      <c r="AT1504" s="4">
        <v>42768</v>
      </c>
      <c r="AU1504" t="s">
        <v>73</v>
      </c>
      <c r="AV1504">
        <v>291</v>
      </c>
      <c r="AW1504" s="4">
        <v>42768</v>
      </c>
      <c r="BD1504">
        <v>0</v>
      </c>
      <c r="BN1504" t="s">
        <v>74</v>
      </c>
    </row>
    <row r="1505" spans="1:66">
      <c r="A1505">
        <v>103538</v>
      </c>
      <c r="B1505" t="s">
        <v>360</v>
      </c>
      <c r="C1505" s="1">
        <v>43300101</v>
      </c>
      <c r="D1505" t="s">
        <v>67</v>
      </c>
      <c r="H1505" t="str">
        <f t="shared" si="200"/>
        <v>11957290155</v>
      </c>
      <c r="I1505" t="str">
        <f t="shared" si="200"/>
        <v>11957290155</v>
      </c>
      <c r="K1505" t="str">
        <f>""</f>
        <v/>
      </c>
      <c r="M1505" t="s">
        <v>68</v>
      </c>
      <c r="N1505" t="str">
        <f t="shared" si="197"/>
        <v>FOR</v>
      </c>
      <c r="O1505" t="s">
        <v>69</v>
      </c>
      <c r="P1505" t="s">
        <v>75</v>
      </c>
      <c r="Q1505">
        <v>2016</v>
      </c>
      <c r="R1505" s="4">
        <v>42664</v>
      </c>
      <c r="S1505" s="2">
        <v>42669</v>
      </c>
      <c r="T1505" s="2">
        <v>42668</v>
      </c>
      <c r="U1505" s="4">
        <v>42728</v>
      </c>
      <c r="V1505" t="s">
        <v>71</v>
      </c>
      <c r="W1505" t="str">
        <f>"       16/16VEN09135"</f>
        <v xml:space="preserve">       16/16VEN09135</v>
      </c>
      <c r="X1505">
        <v>129.94</v>
      </c>
      <c r="Y1505">
        <v>0</v>
      </c>
      <c r="Z1505" s="5">
        <v>118.13</v>
      </c>
      <c r="AA1505" s="3">
        <v>40</v>
      </c>
      <c r="AB1505" s="5">
        <v>4725.2</v>
      </c>
      <c r="AC1505">
        <v>118.13</v>
      </c>
      <c r="AD1505">
        <v>40</v>
      </c>
      <c r="AE1505" s="1">
        <v>4725.2</v>
      </c>
      <c r="AF1505">
        <v>0</v>
      </c>
      <c r="AJ1505">
        <v>0</v>
      </c>
      <c r="AK1505">
        <v>0</v>
      </c>
      <c r="AL1505">
        <v>0</v>
      </c>
      <c r="AM1505">
        <v>0</v>
      </c>
      <c r="AN1505">
        <v>0</v>
      </c>
      <c r="AO1505">
        <v>0</v>
      </c>
      <c r="AP1505" s="2">
        <v>42831</v>
      </c>
      <c r="AQ1505" t="s">
        <v>72</v>
      </c>
      <c r="AR1505" t="s">
        <v>72</v>
      </c>
      <c r="AS1505">
        <v>291</v>
      </c>
      <c r="AT1505" s="4">
        <v>42768</v>
      </c>
      <c r="AU1505" t="s">
        <v>73</v>
      </c>
      <c r="AV1505">
        <v>291</v>
      </c>
      <c r="AW1505" s="4">
        <v>42768</v>
      </c>
      <c r="BD1505">
        <v>0</v>
      </c>
      <c r="BN1505" t="s">
        <v>74</v>
      </c>
    </row>
    <row r="1506" spans="1:66">
      <c r="A1506">
        <v>103538</v>
      </c>
      <c r="B1506" t="s">
        <v>360</v>
      </c>
      <c r="C1506" s="1">
        <v>43300101</v>
      </c>
      <c r="D1506" t="s">
        <v>67</v>
      </c>
      <c r="H1506" t="str">
        <f t="shared" si="200"/>
        <v>11957290155</v>
      </c>
      <c r="I1506" t="str">
        <f t="shared" si="200"/>
        <v>11957290155</v>
      </c>
      <c r="K1506" t="str">
        <f>""</f>
        <v/>
      </c>
      <c r="M1506" t="s">
        <v>68</v>
      </c>
      <c r="N1506" t="str">
        <f t="shared" si="197"/>
        <v>FOR</v>
      </c>
      <c r="O1506" t="s">
        <v>69</v>
      </c>
      <c r="P1506" t="s">
        <v>75</v>
      </c>
      <c r="Q1506">
        <v>2016</v>
      </c>
      <c r="R1506" s="4">
        <v>42702</v>
      </c>
      <c r="S1506" s="2">
        <v>42705</v>
      </c>
      <c r="T1506" s="2">
        <v>42704</v>
      </c>
      <c r="U1506" s="4">
        <v>42764</v>
      </c>
      <c r="V1506" t="s">
        <v>71</v>
      </c>
      <c r="W1506" t="str">
        <f>"       16/16VEN10360"</f>
        <v xml:space="preserve">       16/16VEN10360</v>
      </c>
      <c r="X1506">
        <v>290.95</v>
      </c>
      <c r="Y1506">
        <v>0</v>
      </c>
      <c r="Z1506" s="5">
        <v>264.5</v>
      </c>
      <c r="AA1506" s="3">
        <v>4</v>
      </c>
      <c r="AB1506" s="5">
        <v>1058</v>
      </c>
      <c r="AC1506">
        <v>264.5</v>
      </c>
      <c r="AD1506">
        <v>4</v>
      </c>
      <c r="AE1506" s="1">
        <v>1058</v>
      </c>
      <c r="AF1506">
        <v>0</v>
      </c>
      <c r="AJ1506">
        <v>0</v>
      </c>
      <c r="AK1506">
        <v>0</v>
      </c>
      <c r="AL1506">
        <v>0</v>
      </c>
      <c r="AM1506">
        <v>0</v>
      </c>
      <c r="AN1506">
        <v>0</v>
      </c>
      <c r="AO1506">
        <v>0</v>
      </c>
      <c r="AP1506" s="2">
        <v>42831</v>
      </c>
      <c r="AQ1506" t="s">
        <v>72</v>
      </c>
      <c r="AR1506" t="s">
        <v>72</v>
      </c>
      <c r="AS1506">
        <v>291</v>
      </c>
      <c r="AT1506" s="4">
        <v>42768</v>
      </c>
      <c r="AU1506" t="s">
        <v>73</v>
      </c>
      <c r="AV1506">
        <v>291</v>
      </c>
      <c r="AW1506" s="4">
        <v>42768</v>
      </c>
      <c r="BD1506">
        <v>0</v>
      </c>
      <c r="BN1506" t="s">
        <v>74</v>
      </c>
    </row>
    <row r="1507" spans="1:66">
      <c r="A1507">
        <v>103538</v>
      </c>
      <c r="B1507" t="s">
        <v>360</v>
      </c>
      <c r="C1507" s="1">
        <v>43300101</v>
      </c>
      <c r="D1507" t="s">
        <v>67</v>
      </c>
      <c r="H1507" t="str">
        <f t="shared" si="200"/>
        <v>11957290155</v>
      </c>
      <c r="I1507" t="str">
        <f t="shared" si="200"/>
        <v>11957290155</v>
      </c>
      <c r="K1507" t="str">
        <f>""</f>
        <v/>
      </c>
      <c r="M1507" t="s">
        <v>68</v>
      </c>
      <c r="N1507" t="str">
        <f t="shared" si="197"/>
        <v>FOR</v>
      </c>
      <c r="O1507" t="s">
        <v>69</v>
      </c>
      <c r="P1507" t="s">
        <v>75</v>
      </c>
      <c r="Q1507">
        <v>2016</v>
      </c>
      <c r="R1507" s="4">
        <v>42710</v>
      </c>
      <c r="S1507" s="2">
        <v>42718</v>
      </c>
      <c r="T1507" s="2">
        <v>42713</v>
      </c>
      <c r="U1507" s="4">
        <v>42773</v>
      </c>
      <c r="V1507" t="s">
        <v>71</v>
      </c>
      <c r="W1507" t="str">
        <f>"       16/16VEN10709"</f>
        <v xml:space="preserve">       16/16VEN10709</v>
      </c>
      <c r="X1507">
        <v>178.2</v>
      </c>
      <c r="Y1507">
        <v>0</v>
      </c>
      <c r="Z1507" s="5">
        <v>162</v>
      </c>
      <c r="AA1507" s="3">
        <v>-5</v>
      </c>
      <c r="AB1507" s="3">
        <v>-810</v>
      </c>
      <c r="AC1507">
        <v>162</v>
      </c>
      <c r="AD1507">
        <v>-5</v>
      </c>
      <c r="AE1507">
        <v>-810</v>
      </c>
      <c r="AF1507">
        <v>0</v>
      </c>
      <c r="AJ1507">
        <v>0</v>
      </c>
      <c r="AK1507">
        <v>0</v>
      </c>
      <c r="AL1507">
        <v>0</v>
      </c>
      <c r="AM1507">
        <v>0</v>
      </c>
      <c r="AN1507">
        <v>0</v>
      </c>
      <c r="AO1507">
        <v>0</v>
      </c>
      <c r="AP1507" s="2">
        <v>42831</v>
      </c>
      <c r="AQ1507" t="s">
        <v>72</v>
      </c>
      <c r="AR1507" t="s">
        <v>72</v>
      </c>
      <c r="AS1507">
        <v>291</v>
      </c>
      <c r="AT1507" s="4">
        <v>42768</v>
      </c>
      <c r="AV1507">
        <v>291</v>
      </c>
      <c r="AW1507" s="4">
        <v>42768</v>
      </c>
      <c r="BD1507">
        <v>0</v>
      </c>
      <c r="BN1507" t="s">
        <v>74</v>
      </c>
    </row>
    <row r="1508" spans="1:66">
      <c r="A1508">
        <v>103538</v>
      </c>
      <c r="B1508" t="s">
        <v>360</v>
      </c>
      <c r="C1508" s="1">
        <v>43300101</v>
      </c>
      <c r="D1508" t="s">
        <v>67</v>
      </c>
      <c r="H1508" t="str">
        <f t="shared" si="200"/>
        <v>11957290155</v>
      </c>
      <c r="I1508" t="str">
        <f t="shared" si="200"/>
        <v>11957290155</v>
      </c>
      <c r="K1508" t="str">
        <f>""</f>
        <v/>
      </c>
      <c r="M1508" t="s">
        <v>68</v>
      </c>
      <c r="N1508" t="str">
        <f t="shared" si="197"/>
        <v>FOR</v>
      </c>
      <c r="O1508" t="s">
        <v>69</v>
      </c>
      <c r="P1508" t="s">
        <v>75</v>
      </c>
      <c r="Q1508">
        <v>2016</v>
      </c>
      <c r="R1508" s="4">
        <v>42717</v>
      </c>
      <c r="S1508" s="2">
        <v>42725</v>
      </c>
      <c r="T1508" s="2">
        <v>42719</v>
      </c>
      <c r="U1508" s="4">
        <v>42779</v>
      </c>
      <c r="V1508" t="s">
        <v>71</v>
      </c>
      <c r="W1508" t="str">
        <f>"       16/16VEN10937"</f>
        <v xml:space="preserve">       16/16VEN10937</v>
      </c>
      <c r="X1508">
        <v>439.45</v>
      </c>
      <c r="Y1508">
        <v>0</v>
      </c>
      <c r="Z1508" s="5">
        <v>399.5</v>
      </c>
      <c r="AA1508" s="3">
        <v>-11</v>
      </c>
      <c r="AB1508" s="5">
        <v>-4394.5</v>
      </c>
      <c r="AC1508">
        <v>399.5</v>
      </c>
      <c r="AD1508">
        <v>-11</v>
      </c>
      <c r="AE1508" s="1">
        <v>-4394.5</v>
      </c>
      <c r="AF1508">
        <v>0</v>
      </c>
      <c r="AJ1508">
        <v>0</v>
      </c>
      <c r="AK1508">
        <v>0</v>
      </c>
      <c r="AL1508">
        <v>0</v>
      </c>
      <c r="AM1508">
        <v>0</v>
      </c>
      <c r="AN1508">
        <v>0</v>
      </c>
      <c r="AO1508">
        <v>0</v>
      </c>
      <c r="AP1508" s="2">
        <v>42831</v>
      </c>
      <c r="AQ1508" t="s">
        <v>72</v>
      </c>
      <c r="AR1508" t="s">
        <v>72</v>
      </c>
      <c r="AS1508">
        <v>291</v>
      </c>
      <c r="AT1508" s="4">
        <v>42768</v>
      </c>
      <c r="AV1508">
        <v>291</v>
      </c>
      <c r="AW1508" s="4">
        <v>42768</v>
      </c>
      <c r="BD1508">
        <v>0</v>
      </c>
      <c r="BN1508" t="s">
        <v>74</v>
      </c>
    </row>
    <row r="1509" spans="1:66">
      <c r="A1509">
        <v>103633</v>
      </c>
      <c r="B1509" t="s">
        <v>361</v>
      </c>
      <c r="C1509" s="1">
        <v>43300101</v>
      </c>
      <c r="D1509" t="s">
        <v>67</v>
      </c>
      <c r="H1509" t="str">
        <f>"LDTRFL70H28H592V"</f>
        <v>LDTRFL70H28H592V</v>
      </c>
      <c r="I1509" t="str">
        <f>"02002150643"</f>
        <v>02002150643</v>
      </c>
      <c r="K1509" t="str">
        <f>""</f>
        <v/>
      </c>
      <c r="M1509" t="s">
        <v>68</v>
      </c>
      <c r="N1509" t="str">
        <f t="shared" si="197"/>
        <v>FOR</v>
      </c>
      <c r="O1509" t="s">
        <v>69</v>
      </c>
      <c r="P1509" t="s">
        <v>75</v>
      </c>
      <c r="Q1509">
        <v>2016</v>
      </c>
      <c r="R1509" s="4">
        <v>42704</v>
      </c>
      <c r="S1509" s="2">
        <v>42718</v>
      </c>
      <c r="T1509" s="2">
        <v>42714</v>
      </c>
      <c r="U1509" s="4">
        <v>42774</v>
      </c>
      <c r="V1509" t="s">
        <v>71</v>
      </c>
      <c r="W1509" t="str">
        <f>"              156/PA"</f>
        <v xml:space="preserve">              156/PA</v>
      </c>
      <c r="X1509">
        <v>541.67999999999995</v>
      </c>
      <c r="Y1509">
        <v>0</v>
      </c>
      <c r="Z1509" s="5">
        <v>444</v>
      </c>
      <c r="AA1509" s="3">
        <v>-8</v>
      </c>
      <c r="AB1509" s="5">
        <v>-3552</v>
      </c>
      <c r="AC1509">
        <v>444</v>
      </c>
      <c r="AD1509">
        <v>-8</v>
      </c>
      <c r="AE1509" s="1">
        <v>-3552</v>
      </c>
      <c r="AF1509">
        <v>0</v>
      </c>
      <c r="AJ1509">
        <v>0</v>
      </c>
      <c r="AK1509">
        <v>0</v>
      </c>
      <c r="AL1509">
        <v>0</v>
      </c>
      <c r="AM1509">
        <v>0</v>
      </c>
      <c r="AN1509">
        <v>0</v>
      </c>
      <c r="AO1509">
        <v>0</v>
      </c>
      <c r="AP1509" s="2">
        <v>42831</v>
      </c>
      <c r="AQ1509" t="s">
        <v>72</v>
      </c>
      <c r="AR1509" t="s">
        <v>72</v>
      </c>
      <c r="AS1509">
        <v>168</v>
      </c>
      <c r="AT1509" s="4">
        <v>42766</v>
      </c>
      <c r="AV1509">
        <v>168</v>
      </c>
      <c r="AW1509" s="4">
        <v>42766</v>
      </c>
      <c r="BD1509">
        <v>0</v>
      </c>
      <c r="BN1509" t="s">
        <v>74</v>
      </c>
    </row>
    <row r="1510" spans="1:66">
      <c r="A1510">
        <v>103808</v>
      </c>
      <c r="B1510" t="s">
        <v>362</v>
      </c>
      <c r="C1510" s="1">
        <v>43300101</v>
      </c>
      <c r="D1510" t="s">
        <v>67</v>
      </c>
      <c r="H1510" t="str">
        <f>"02405040284"</f>
        <v>02405040284</v>
      </c>
      <c r="I1510" t="str">
        <f>"02405040284"</f>
        <v>02405040284</v>
      </c>
      <c r="K1510" t="str">
        <f>""</f>
        <v/>
      </c>
      <c r="M1510" t="s">
        <v>68</v>
      </c>
      <c r="N1510" t="str">
        <f t="shared" si="197"/>
        <v>FOR</v>
      </c>
      <c r="O1510" t="s">
        <v>69</v>
      </c>
      <c r="P1510" t="s">
        <v>75</v>
      </c>
      <c r="Q1510">
        <v>2016</v>
      </c>
      <c r="R1510" s="4">
        <v>42460</v>
      </c>
      <c r="S1510" s="2">
        <v>42486</v>
      </c>
      <c r="T1510" s="2">
        <v>42482</v>
      </c>
      <c r="U1510" s="4">
        <v>42542</v>
      </c>
      <c r="V1510" t="s">
        <v>71</v>
      </c>
      <c r="W1510" t="str">
        <f>"              601455"</f>
        <v xml:space="preserve">              601455</v>
      </c>
      <c r="X1510" s="1">
        <v>12686.78</v>
      </c>
      <c r="Y1510">
        <v>0</v>
      </c>
      <c r="Z1510" s="5">
        <v>10399</v>
      </c>
      <c r="AA1510" s="3">
        <v>232</v>
      </c>
      <c r="AB1510" s="5">
        <v>2412568</v>
      </c>
      <c r="AC1510" s="1">
        <v>10399</v>
      </c>
      <c r="AD1510">
        <v>232</v>
      </c>
      <c r="AE1510" s="1">
        <v>2412568</v>
      </c>
      <c r="AF1510">
        <v>0</v>
      </c>
      <c r="AJ1510">
        <v>0</v>
      </c>
      <c r="AK1510">
        <v>0</v>
      </c>
      <c r="AL1510">
        <v>0</v>
      </c>
      <c r="AM1510">
        <v>0</v>
      </c>
      <c r="AN1510">
        <v>0</v>
      </c>
      <c r="AO1510">
        <v>0</v>
      </c>
      <c r="AP1510" s="2">
        <v>42831</v>
      </c>
      <c r="AQ1510" t="s">
        <v>72</v>
      </c>
      <c r="AR1510" t="s">
        <v>72</v>
      </c>
      <c r="AS1510">
        <v>345</v>
      </c>
      <c r="AT1510" s="4">
        <v>42774</v>
      </c>
      <c r="AU1510" t="s">
        <v>73</v>
      </c>
      <c r="AV1510">
        <v>345</v>
      </c>
      <c r="AW1510" s="4">
        <v>42774</v>
      </c>
      <c r="BD1510">
        <v>0</v>
      </c>
      <c r="BN1510" t="s">
        <v>74</v>
      </c>
    </row>
    <row r="1511" spans="1:66">
      <c r="A1511">
        <v>103852</v>
      </c>
      <c r="B1511" t="s">
        <v>363</v>
      </c>
      <c r="C1511" s="1">
        <v>43300101</v>
      </c>
      <c r="D1511" t="s">
        <v>67</v>
      </c>
      <c r="H1511" t="str">
        <f t="shared" ref="H1511:I1537" si="201">"02790240101"</f>
        <v>02790240101</v>
      </c>
      <c r="I1511" t="str">
        <f t="shared" si="201"/>
        <v>02790240101</v>
      </c>
      <c r="K1511" t="str">
        <f>""</f>
        <v/>
      </c>
      <c r="M1511" t="s">
        <v>68</v>
      </c>
      <c r="N1511" t="str">
        <f t="shared" si="197"/>
        <v>FOR</v>
      </c>
      <c r="O1511" t="s">
        <v>69</v>
      </c>
      <c r="P1511" t="s">
        <v>75</v>
      </c>
      <c r="Q1511">
        <v>2016</v>
      </c>
      <c r="R1511" s="4">
        <v>42444</v>
      </c>
      <c r="S1511" s="2">
        <v>42453</v>
      </c>
      <c r="T1511" s="2">
        <v>42453</v>
      </c>
      <c r="U1511" s="4">
        <v>42513</v>
      </c>
      <c r="V1511" t="s">
        <v>71</v>
      </c>
      <c r="W1511" t="str">
        <f>"                4255"</f>
        <v xml:space="preserve">                4255</v>
      </c>
      <c r="X1511" s="1">
        <v>7839.72</v>
      </c>
      <c r="Y1511">
        <v>0</v>
      </c>
      <c r="Z1511" s="5">
        <v>6426</v>
      </c>
      <c r="AA1511" s="3">
        <v>261</v>
      </c>
      <c r="AB1511" s="5">
        <v>1677186</v>
      </c>
      <c r="AC1511" s="1">
        <v>6426</v>
      </c>
      <c r="AD1511">
        <v>261</v>
      </c>
      <c r="AE1511" s="1">
        <v>1677186</v>
      </c>
      <c r="AF1511">
        <v>0</v>
      </c>
      <c r="AJ1511">
        <v>0</v>
      </c>
      <c r="AK1511">
        <v>0</v>
      </c>
      <c r="AL1511">
        <v>0</v>
      </c>
      <c r="AM1511">
        <v>0</v>
      </c>
      <c r="AN1511">
        <v>0</v>
      </c>
      <c r="AO1511">
        <v>0</v>
      </c>
      <c r="AP1511" s="2">
        <v>42831</v>
      </c>
      <c r="AQ1511" t="s">
        <v>72</v>
      </c>
      <c r="AR1511" t="s">
        <v>72</v>
      </c>
      <c r="AS1511">
        <v>354</v>
      </c>
      <c r="AT1511" s="4">
        <v>42774</v>
      </c>
      <c r="AU1511" t="s">
        <v>73</v>
      </c>
      <c r="AV1511">
        <v>354</v>
      </c>
      <c r="AW1511" s="4">
        <v>42774</v>
      </c>
      <c r="BD1511">
        <v>0</v>
      </c>
      <c r="BN1511" t="s">
        <v>74</v>
      </c>
    </row>
    <row r="1512" spans="1:66">
      <c r="A1512">
        <v>103852</v>
      </c>
      <c r="B1512" t="s">
        <v>363</v>
      </c>
      <c r="C1512" s="1">
        <v>43300101</v>
      </c>
      <c r="D1512" t="s">
        <v>67</v>
      </c>
      <c r="H1512" t="str">
        <f t="shared" si="201"/>
        <v>02790240101</v>
      </c>
      <c r="I1512" t="str">
        <f t="shared" si="201"/>
        <v>02790240101</v>
      </c>
      <c r="K1512" t="str">
        <f>""</f>
        <v/>
      </c>
      <c r="M1512" t="s">
        <v>68</v>
      </c>
      <c r="N1512" t="str">
        <f t="shared" si="197"/>
        <v>FOR</v>
      </c>
      <c r="O1512" t="s">
        <v>69</v>
      </c>
      <c r="P1512" t="s">
        <v>75</v>
      </c>
      <c r="Q1512">
        <v>2016</v>
      </c>
      <c r="R1512" s="4">
        <v>42444</v>
      </c>
      <c r="S1512" s="2">
        <v>42453</v>
      </c>
      <c r="T1512" s="2">
        <v>42453</v>
      </c>
      <c r="U1512" s="4">
        <v>42513</v>
      </c>
      <c r="V1512" t="s">
        <v>71</v>
      </c>
      <c r="W1512" t="str">
        <f>"                4256"</f>
        <v xml:space="preserve">                4256</v>
      </c>
      <c r="X1512">
        <v>614.88</v>
      </c>
      <c r="Y1512">
        <v>0</v>
      </c>
      <c r="Z1512" s="5">
        <v>504</v>
      </c>
      <c r="AA1512" s="3">
        <v>261</v>
      </c>
      <c r="AB1512" s="5">
        <v>131544</v>
      </c>
      <c r="AC1512">
        <v>504</v>
      </c>
      <c r="AD1512">
        <v>261</v>
      </c>
      <c r="AE1512" s="1">
        <v>131544</v>
      </c>
      <c r="AF1512">
        <v>0</v>
      </c>
      <c r="AJ1512">
        <v>0</v>
      </c>
      <c r="AK1512">
        <v>0</v>
      </c>
      <c r="AL1512">
        <v>0</v>
      </c>
      <c r="AM1512">
        <v>0</v>
      </c>
      <c r="AN1512">
        <v>0</v>
      </c>
      <c r="AO1512">
        <v>0</v>
      </c>
      <c r="AP1512" s="2">
        <v>42831</v>
      </c>
      <c r="AQ1512" t="s">
        <v>72</v>
      </c>
      <c r="AR1512" t="s">
        <v>72</v>
      </c>
      <c r="AS1512">
        <v>354</v>
      </c>
      <c r="AT1512" s="4">
        <v>42774</v>
      </c>
      <c r="AU1512" t="s">
        <v>73</v>
      </c>
      <c r="AV1512">
        <v>354</v>
      </c>
      <c r="AW1512" s="4">
        <v>42774</v>
      </c>
      <c r="BD1512">
        <v>0</v>
      </c>
      <c r="BN1512" t="s">
        <v>74</v>
      </c>
    </row>
    <row r="1513" spans="1:66">
      <c r="A1513">
        <v>103852</v>
      </c>
      <c r="B1513" t="s">
        <v>363</v>
      </c>
      <c r="C1513" s="1">
        <v>43300101</v>
      </c>
      <c r="D1513" t="s">
        <v>67</v>
      </c>
      <c r="H1513" t="str">
        <f t="shared" si="201"/>
        <v>02790240101</v>
      </c>
      <c r="I1513" t="str">
        <f t="shared" si="201"/>
        <v>02790240101</v>
      </c>
      <c r="K1513" t="str">
        <f>""</f>
        <v/>
      </c>
      <c r="M1513" t="s">
        <v>68</v>
      </c>
      <c r="N1513" t="str">
        <f t="shared" si="197"/>
        <v>FOR</v>
      </c>
      <c r="O1513" t="s">
        <v>69</v>
      </c>
      <c r="P1513" t="s">
        <v>75</v>
      </c>
      <c r="Q1513">
        <v>2016</v>
      </c>
      <c r="R1513" s="4">
        <v>42444</v>
      </c>
      <c r="S1513" s="2">
        <v>42453</v>
      </c>
      <c r="T1513" s="2">
        <v>42453</v>
      </c>
      <c r="U1513" s="4">
        <v>42513</v>
      </c>
      <c r="V1513" t="s">
        <v>71</v>
      </c>
      <c r="W1513" t="str">
        <f>"                4257"</f>
        <v xml:space="preserve">                4257</v>
      </c>
      <c r="X1513">
        <v>307.44</v>
      </c>
      <c r="Y1513">
        <v>0</v>
      </c>
      <c r="Z1513" s="5">
        <v>252</v>
      </c>
      <c r="AA1513" s="3">
        <v>261</v>
      </c>
      <c r="AB1513" s="5">
        <v>65772</v>
      </c>
      <c r="AC1513">
        <v>252</v>
      </c>
      <c r="AD1513">
        <v>261</v>
      </c>
      <c r="AE1513" s="1">
        <v>65772</v>
      </c>
      <c r="AF1513">
        <v>0</v>
      </c>
      <c r="AJ1513">
        <v>0</v>
      </c>
      <c r="AK1513">
        <v>0</v>
      </c>
      <c r="AL1513">
        <v>0</v>
      </c>
      <c r="AM1513">
        <v>0</v>
      </c>
      <c r="AN1513">
        <v>0</v>
      </c>
      <c r="AO1513">
        <v>0</v>
      </c>
      <c r="AP1513" s="2">
        <v>42831</v>
      </c>
      <c r="AQ1513" t="s">
        <v>72</v>
      </c>
      <c r="AR1513" t="s">
        <v>72</v>
      </c>
      <c r="AS1513">
        <v>354</v>
      </c>
      <c r="AT1513" s="4">
        <v>42774</v>
      </c>
      <c r="AU1513" t="s">
        <v>73</v>
      </c>
      <c r="AV1513">
        <v>354</v>
      </c>
      <c r="AW1513" s="4">
        <v>42774</v>
      </c>
      <c r="BD1513">
        <v>0</v>
      </c>
      <c r="BN1513" t="s">
        <v>74</v>
      </c>
    </row>
    <row r="1514" spans="1:66">
      <c r="A1514">
        <v>103852</v>
      </c>
      <c r="B1514" t="s">
        <v>363</v>
      </c>
      <c r="C1514" s="1">
        <v>43300101</v>
      </c>
      <c r="D1514" t="s">
        <v>67</v>
      </c>
      <c r="H1514" t="str">
        <f t="shared" si="201"/>
        <v>02790240101</v>
      </c>
      <c r="I1514" t="str">
        <f t="shared" si="201"/>
        <v>02790240101</v>
      </c>
      <c r="K1514" t="str">
        <f>""</f>
        <v/>
      </c>
      <c r="M1514" t="s">
        <v>68</v>
      </c>
      <c r="N1514" t="str">
        <f t="shared" ref="N1514:N1545" si="202">"FOR"</f>
        <v>FOR</v>
      </c>
      <c r="O1514" t="s">
        <v>69</v>
      </c>
      <c r="P1514" t="s">
        <v>75</v>
      </c>
      <c r="Q1514">
        <v>2016</v>
      </c>
      <c r="R1514" s="4">
        <v>42460</v>
      </c>
      <c r="S1514" s="2">
        <v>42481</v>
      </c>
      <c r="T1514" s="2">
        <v>42478</v>
      </c>
      <c r="U1514" s="4">
        <v>42538</v>
      </c>
      <c r="V1514" t="s">
        <v>71</v>
      </c>
      <c r="W1514" t="str">
        <f>"                5334"</f>
        <v xml:space="preserve">                5334</v>
      </c>
      <c r="X1514" s="1">
        <v>1912.55</v>
      </c>
      <c r="Y1514">
        <v>0</v>
      </c>
      <c r="Z1514" s="5">
        <v>1567.66</v>
      </c>
      <c r="AA1514" s="3">
        <v>236</v>
      </c>
      <c r="AB1514" s="5">
        <v>369967.76</v>
      </c>
      <c r="AC1514" s="1">
        <v>1567.66</v>
      </c>
      <c r="AD1514">
        <v>236</v>
      </c>
      <c r="AE1514" s="1">
        <v>369967.76</v>
      </c>
      <c r="AF1514">
        <v>0</v>
      </c>
      <c r="AJ1514">
        <v>0</v>
      </c>
      <c r="AK1514">
        <v>0</v>
      </c>
      <c r="AL1514">
        <v>0</v>
      </c>
      <c r="AM1514">
        <v>0</v>
      </c>
      <c r="AN1514">
        <v>0</v>
      </c>
      <c r="AO1514">
        <v>0</v>
      </c>
      <c r="AP1514" s="2">
        <v>42831</v>
      </c>
      <c r="AQ1514" t="s">
        <v>72</v>
      </c>
      <c r="AR1514" t="s">
        <v>72</v>
      </c>
      <c r="AS1514">
        <v>354</v>
      </c>
      <c r="AT1514" s="4">
        <v>42774</v>
      </c>
      <c r="AU1514" t="s">
        <v>73</v>
      </c>
      <c r="AV1514">
        <v>354</v>
      </c>
      <c r="AW1514" s="4">
        <v>42774</v>
      </c>
      <c r="BD1514">
        <v>0</v>
      </c>
      <c r="BN1514" t="s">
        <v>74</v>
      </c>
    </row>
    <row r="1515" spans="1:66">
      <c r="A1515">
        <v>103852</v>
      </c>
      <c r="B1515" t="s">
        <v>363</v>
      </c>
      <c r="C1515" s="1">
        <v>43300101</v>
      </c>
      <c r="D1515" t="s">
        <v>67</v>
      </c>
      <c r="H1515" t="str">
        <f t="shared" si="201"/>
        <v>02790240101</v>
      </c>
      <c r="I1515" t="str">
        <f t="shared" si="201"/>
        <v>02790240101</v>
      </c>
      <c r="K1515" t="str">
        <f>""</f>
        <v/>
      </c>
      <c r="M1515" t="s">
        <v>68</v>
      </c>
      <c r="N1515" t="str">
        <f t="shared" si="202"/>
        <v>FOR</v>
      </c>
      <c r="O1515" t="s">
        <v>69</v>
      </c>
      <c r="P1515" t="s">
        <v>75</v>
      </c>
      <c r="Q1515">
        <v>2016</v>
      </c>
      <c r="R1515" s="4">
        <v>42460</v>
      </c>
      <c r="S1515" s="2">
        <v>42481</v>
      </c>
      <c r="T1515" s="2">
        <v>42478</v>
      </c>
      <c r="U1515" s="4">
        <v>42538</v>
      </c>
      <c r="V1515" t="s">
        <v>71</v>
      </c>
      <c r="W1515" t="str">
        <f>"                5335"</f>
        <v xml:space="preserve">                5335</v>
      </c>
      <c r="X1515">
        <v>233.14</v>
      </c>
      <c r="Y1515">
        <v>0</v>
      </c>
      <c r="Z1515" s="5">
        <v>191.1</v>
      </c>
      <c r="AA1515" s="3">
        <v>236</v>
      </c>
      <c r="AB1515" s="5">
        <v>45099.6</v>
      </c>
      <c r="AC1515">
        <v>191.1</v>
      </c>
      <c r="AD1515">
        <v>236</v>
      </c>
      <c r="AE1515" s="1">
        <v>45099.6</v>
      </c>
      <c r="AF1515">
        <v>0</v>
      </c>
      <c r="AJ1515">
        <v>0</v>
      </c>
      <c r="AK1515">
        <v>0</v>
      </c>
      <c r="AL1515">
        <v>0</v>
      </c>
      <c r="AM1515">
        <v>0</v>
      </c>
      <c r="AN1515">
        <v>0</v>
      </c>
      <c r="AO1515">
        <v>0</v>
      </c>
      <c r="AP1515" s="2">
        <v>42831</v>
      </c>
      <c r="AQ1515" t="s">
        <v>72</v>
      </c>
      <c r="AR1515" t="s">
        <v>72</v>
      </c>
      <c r="AS1515">
        <v>354</v>
      </c>
      <c r="AT1515" s="4">
        <v>42774</v>
      </c>
      <c r="AU1515" t="s">
        <v>73</v>
      </c>
      <c r="AV1515">
        <v>354</v>
      </c>
      <c r="AW1515" s="4">
        <v>42774</v>
      </c>
      <c r="BD1515">
        <v>0</v>
      </c>
      <c r="BN1515" t="s">
        <v>74</v>
      </c>
    </row>
    <row r="1516" spans="1:66">
      <c r="A1516">
        <v>103852</v>
      </c>
      <c r="B1516" t="s">
        <v>363</v>
      </c>
      <c r="C1516" s="1">
        <v>43300101</v>
      </c>
      <c r="D1516" t="s">
        <v>67</v>
      </c>
      <c r="H1516" t="str">
        <f t="shared" si="201"/>
        <v>02790240101</v>
      </c>
      <c r="I1516" t="str">
        <f t="shared" si="201"/>
        <v>02790240101</v>
      </c>
      <c r="K1516" t="str">
        <f>""</f>
        <v/>
      </c>
      <c r="M1516" t="s">
        <v>68</v>
      </c>
      <c r="N1516" t="str">
        <f t="shared" si="202"/>
        <v>FOR</v>
      </c>
      <c r="O1516" t="s">
        <v>69</v>
      </c>
      <c r="P1516" t="s">
        <v>75</v>
      </c>
      <c r="Q1516">
        <v>2016</v>
      </c>
      <c r="R1516" s="4">
        <v>42460</v>
      </c>
      <c r="S1516" s="2">
        <v>42486</v>
      </c>
      <c r="T1516" s="2">
        <v>42478</v>
      </c>
      <c r="U1516" s="4">
        <v>42538</v>
      </c>
      <c r="V1516" t="s">
        <v>71</v>
      </c>
      <c r="W1516" t="str">
        <f>"                5336"</f>
        <v xml:space="preserve">                5336</v>
      </c>
      <c r="X1516">
        <v>786.9</v>
      </c>
      <c r="Y1516">
        <v>0</v>
      </c>
      <c r="Z1516" s="5">
        <v>645</v>
      </c>
      <c r="AA1516" s="3">
        <v>236</v>
      </c>
      <c r="AB1516" s="5">
        <v>152220</v>
      </c>
      <c r="AC1516">
        <v>645</v>
      </c>
      <c r="AD1516">
        <v>236</v>
      </c>
      <c r="AE1516" s="1">
        <v>152220</v>
      </c>
      <c r="AF1516">
        <v>0</v>
      </c>
      <c r="AJ1516">
        <v>0</v>
      </c>
      <c r="AK1516">
        <v>0</v>
      </c>
      <c r="AL1516">
        <v>0</v>
      </c>
      <c r="AM1516">
        <v>0</v>
      </c>
      <c r="AN1516">
        <v>0</v>
      </c>
      <c r="AO1516">
        <v>0</v>
      </c>
      <c r="AP1516" s="2">
        <v>42831</v>
      </c>
      <c r="AQ1516" t="s">
        <v>72</v>
      </c>
      <c r="AR1516" t="s">
        <v>72</v>
      </c>
      <c r="AS1516">
        <v>354</v>
      </c>
      <c r="AT1516" s="4">
        <v>42774</v>
      </c>
      <c r="AU1516" t="s">
        <v>73</v>
      </c>
      <c r="AV1516">
        <v>354</v>
      </c>
      <c r="AW1516" s="4">
        <v>42774</v>
      </c>
      <c r="BD1516">
        <v>0</v>
      </c>
      <c r="BN1516" t="s">
        <v>74</v>
      </c>
    </row>
    <row r="1517" spans="1:66">
      <c r="A1517">
        <v>103852</v>
      </c>
      <c r="B1517" t="s">
        <v>363</v>
      </c>
      <c r="C1517" s="1">
        <v>43300101</v>
      </c>
      <c r="D1517" t="s">
        <v>67</v>
      </c>
      <c r="H1517" t="str">
        <f t="shared" si="201"/>
        <v>02790240101</v>
      </c>
      <c r="I1517" t="str">
        <f t="shared" si="201"/>
        <v>02790240101</v>
      </c>
      <c r="K1517" t="str">
        <f>""</f>
        <v/>
      </c>
      <c r="M1517" t="s">
        <v>68</v>
      </c>
      <c r="N1517" t="str">
        <f t="shared" si="202"/>
        <v>FOR</v>
      </c>
      <c r="O1517" t="s">
        <v>69</v>
      </c>
      <c r="P1517" t="s">
        <v>75</v>
      </c>
      <c r="Q1517">
        <v>2016</v>
      </c>
      <c r="R1517" s="4">
        <v>42460</v>
      </c>
      <c r="S1517" s="2">
        <v>42481</v>
      </c>
      <c r="T1517" s="2">
        <v>42478</v>
      </c>
      <c r="U1517" s="4">
        <v>42538</v>
      </c>
      <c r="V1517" t="s">
        <v>71</v>
      </c>
      <c r="W1517" t="str">
        <f>"                5337"</f>
        <v xml:space="preserve">                5337</v>
      </c>
      <c r="X1517">
        <v>536.79999999999995</v>
      </c>
      <c r="Y1517">
        <v>0</v>
      </c>
      <c r="Z1517" s="5">
        <v>440</v>
      </c>
      <c r="AA1517" s="3">
        <v>236</v>
      </c>
      <c r="AB1517" s="5">
        <v>103840</v>
      </c>
      <c r="AC1517">
        <v>440</v>
      </c>
      <c r="AD1517">
        <v>236</v>
      </c>
      <c r="AE1517" s="1">
        <v>103840</v>
      </c>
      <c r="AF1517">
        <v>0</v>
      </c>
      <c r="AJ1517">
        <v>0</v>
      </c>
      <c r="AK1517">
        <v>0</v>
      </c>
      <c r="AL1517">
        <v>0</v>
      </c>
      <c r="AM1517">
        <v>0</v>
      </c>
      <c r="AN1517">
        <v>0</v>
      </c>
      <c r="AO1517">
        <v>0</v>
      </c>
      <c r="AP1517" s="2">
        <v>42831</v>
      </c>
      <c r="AQ1517" t="s">
        <v>72</v>
      </c>
      <c r="AR1517" t="s">
        <v>72</v>
      </c>
      <c r="AS1517">
        <v>354</v>
      </c>
      <c r="AT1517" s="4">
        <v>42774</v>
      </c>
      <c r="AU1517" t="s">
        <v>73</v>
      </c>
      <c r="AV1517">
        <v>354</v>
      </c>
      <c r="AW1517" s="4">
        <v>42774</v>
      </c>
      <c r="BD1517">
        <v>0</v>
      </c>
      <c r="BN1517" t="s">
        <v>74</v>
      </c>
    </row>
    <row r="1518" spans="1:66">
      <c r="A1518">
        <v>103852</v>
      </c>
      <c r="B1518" t="s">
        <v>363</v>
      </c>
      <c r="C1518" s="1">
        <v>43300101</v>
      </c>
      <c r="D1518" t="s">
        <v>67</v>
      </c>
      <c r="H1518" t="str">
        <f t="shared" si="201"/>
        <v>02790240101</v>
      </c>
      <c r="I1518" t="str">
        <f t="shared" si="201"/>
        <v>02790240101</v>
      </c>
      <c r="K1518" t="str">
        <f>""</f>
        <v/>
      </c>
      <c r="M1518" t="s">
        <v>68</v>
      </c>
      <c r="N1518" t="str">
        <f t="shared" si="202"/>
        <v>FOR</v>
      </c>
      <c r="O1518" t="s">
        <v>69</v>
      </c>
      <c r="P1518" t="s">
        <v>75</v>
      </c>
      <c r="Q1518">
        <v>2016</v>
      </c>
      <c r="R1518" s="4">
        <v>42460</v>
      </c>
      <c r="S1518" s="2">
        <v>42481</v>
      </c>
      <c r="T1518" s="2">
        <v>42478</v>
      </c>
      <c r="U1518" s="4">
        <v>42538</v>
      </c>
      <c r="V1518" t="s">
        <v>71</v>
      </c>
      <c r="W1518" t="str">
        <f>"                5338"</f>
        <v xml:space="preserve">                5338</v>
      </c>
      <c r="X1518">
        <v>998.45</v>
      </c>
      <c r="Y1518">
        <v>0</v>
      </c>
      <c r="Z1518" s="5">
        <v>818.4</v>
      </c>
      <c r="AA1518" s="3">
        <v>236</v>
      </c>
      <c r="AB1518" s="5">
        <v>193142.39999999999</v>
      </c>
      <c r="AC1518">
        <v>818.4</v>
      </c>
      <c r="AD1518">
        <v>236</v>
      </c>
      <c r="AE1518" s="1">
        <v>193142.39999999999</v>
      </c>
      <c r="AF1518">
        <v>0</v>
      </c>
      <c r="AJ1518">
        <v>0</v>
      </c>
      <c r="AK1518">
        <v>0</v>
      </c>
      <c r="AL1518">
        <v>0</v>
      </c>
      <c r="AM1518">
        <v>0</v>
      </c>
      <c r="AN1518">
        <v>0</v>
      </c>
      <c r="AO1518">
        <v>0</v>
      </c>
      <c r="AP1518" s="2">
        <v>42831</v>
      </c>
      <c r="AQ1518" t="s">
        <v>72</v>
      </c>
      <c r="AR1518" t="s">
        <v>72</v>
      </c>
      <c r="AS1518">
        <v>354</v>
      </c>
      <c r="AT1518" s="4">
        <v>42774</v>
      </c>
      <c r="AU1518" t="s">
        <v>73</v>
      </c>
      <c r="AV1518">
        <v>354</v>
      </c>
      <c r="AW1518" s="4">
        <v>42774</v>
      </c>
      <c r="BD1518">
        <v>0</v>
      </c>
      <c r="BN1518" t="s">
        <v>74</v>
      </c>
    </row>
    <row r="1519" spans="1:66">
      <c r="A1519">
        <v>103852</v>
      </c>
      <c r="B1519" t="s">
        <v>363</v>
      </c>
      <c r="C1519" s="1">
        <v>43300101</v>
      </c>
      <c r="D1519" t="s">
        <v>67</v>
      </c>
      <c r="H1519" t="str">
        <f t="shared" si="201"/>
        <v>02790240101</v>
      </c>
      <c r="I1519" t="str">
        <f t="shared" si="201"/>
        <v>02790240101</v>
      </c>
      <c r="K1519" t="str">
        <f>""</f>
        <v/>
      </c>
      <c r="M1519" t="s">
        <v>68</v>
      </c>
      <c r="N1519" t="str">
        <f t="shared" si="202"/>
        <v>FOR</v>
      </c>
      <c r="O1519" t="s">
        <v>69</v>
      </c>
      <c r="P1519" t="s">
        <v>75</v>
      </c>
      <c r="Q1519">
        <v>2016</v>
      </c>
      <c r="R1519" s="4">
        <v>42460</v>
      </c>
      <c r="S1519" s="2">
        <v>42481</v>
      </c>
      <c r="T1519" s="2">
        <v>42478</v>
      </c>
      <c r="U1519" s="4">
        <v>42538</v>
      </c>
      <c r="V1519" t="s">
        <v>71</v>
      </c>
      <c r="W1519" t="str">
        <f>"                5339"</f>
        <v xml:space="preserve">                5339</v>
      </c>
      <c r="X1519">
        <v>439.2</v>
      </c>
      <c r="Y1519">
        <v>0</v>
      </c>
      <c r="Z1519" s="5">
        <v>360</v>
      </c>
      <c r="AA1519" s="3">
        <v>236</v>
      </c>
      <c r="AB1519" s="5">
        <v>84960</v>
      </c>
      <c r="AC1519">
        <v>360</v>
      </c>
      <c r="AD1519">
        <v>236</v>
      </c>
      <c r="AE1519" s="1">
        <v>84960</v>
      </c>
      <c r="AF1519">
        <v>0</v>
      </c>
      <c r="AJ1519">
        <v>0</v>
      </c>
      <c r="AK1519">
        <v>0</v>
      </c>
      <c r="AL1519">
        <v>0</v>
      </c>
      <c r="AM1519">
        <v>0</v>
      </c>
      <c r="AN1519">
        <v>0</v>
      </c>
      <c r="AO1519">
        <v>0</v>
      </c>
      <c r="AP1519" s="2">
        <v>42831</v>
      </c>
      <c r="AQ1519" t="s">
        <v>72</v>
      </c>
      <c r="AR1519" t="s">
        <v>72</v>
      </c>
      <c r="AS1519">
        <v>354</v>
      </c>
      <c r="AT1519" s="4">
        <v>42774</v>
      </c>
      <c r="AU1519" t="s">
        <v>73</v>
      </c>
      <c r="AV1519">
        <v>354</v>
      </c>
      <c r="AW1519" s="4">
        <v>42774</v>
      </c>
      <c r="BD1519">
        <v>0</v>
      </c>
      <c r="BN1519" t="s">
        <v>74</v>
      </c>
    </row>
    <row r="1520" spans="1:66">
      <c r="A1520">
        <v>103852</v>
      </c>
      <c r="B1520" t="s">
        <v>363</v>
      </c>
      <c r="C1520" s="1">
        <v>43300101</v>
      </c>
      <c r="D1520" t="s">
        <v>67</v>
      </c>
      <c r="H1520" t="str">
        <f t="shared" si="201"/>
        <v>02790240101</v>
      </c>
      <c r="I1520" t="str">
        <f t="shared" si="201"/>
        <v>02790240101</v>
      </c>
      <c r="K1520" t="str">
        <f>""</f>
        <v/>
      </c>
      <c r="M1520" t="s">
        <v>68</v>
      </c>
      <c r="N1520" t="str">
        <f t="shared" si="202"/>
        <v>FOR</v>
      </c>
      <c r="O1520" t="s">
        <v>69</v>
      </c>
      <c r="P1520" t="s">
        <v>75</v>
      </c>
      <c r="Q1520">
        <v>2016</v>
      </c>
      <c r="R1520" s="4">
        <v>42475</v>
      </c>
      <c r="S1520" s="2">
        <v>42481</v>
      </c>
      <c r="T1520" s="2">
        <v>42480</v>
      </c>
      <c r="U1520" s="4">
        <v>42540</v>
      </c>
      <c r="V1520" t="s">
        <v>71</v>
      </c>
      <c r="W1520" t="str">
        <f>"                6270"</f>
        <v xml:space="preserve">                6270</v>
      </c>
      <c r="X1520">
        <v>135.41999999999999</v>
      </c>
      <c r="Y1520">
        <v>0</v>
      </c>
      <c r="Z1520" s="5">
        <v>111</v>
      </c>
      <c r="AA1520" s="3">
        <v>242</v>
      </c>
      <c r="AB1520" s="5">
        <v>26862</v>
      </c>
      <c r="AC1520">
        <v>111</v>
      </c>
      <c r="AD1520">
        <v>242</v>
      </c>
      <c r="AE1520" s="1">
        <v>26862</v>
      </c>
      <c r="AF1520">
        <v>0</v>
      </c>
      <c r="AJ1520">
        <v>0</v>
      </c>
      <c r="AK1520">
        <v>0</v>
      </c>
      <c r="AL1520">
        <v>0</v>
      </c>
      <c r="AM1520">
        <v>0</v>
      </c>
      <c r="AN1520">
        <v>0</v>
      </c>
      <c r="AO1520">
        <v>0</v>
      </c>
      <c r="AP1520" s="2">
        <v>42831</v>
      </c>
      <c r="AQ1520" t="s">
        <v>72</v>
      </c>
      <c r="AR1520" t="s">
        <v>72</v>
      </c>
      <c r="AS1520">
        <v>483</v>
      </c>
      <c r="AT1520" s="4">
        <v>42782</v>
      </c>
      <c r="AU1520" t="s">
        <v>73</v>
      </c>
      <c r="AV1520">
        <v>483</v>
      </c>
      <c r="AW1520" s="4">
        <v>42782</v>
      </c>
      <c r="BD1520">
        <v>0</v>
      </c>
      <c r="BN1520" t="s">
        <v>74</v>
      </c>
    </row>
    <row r="1521" spans="1:66">
      <c r="A1521">
        <v>103852</v>
      </c>
      <c r="B1521" t="s">
        <v>363</v>
      </c>
      <c r="C1521" s="1">
        <v>43300101</v>
      </c>
      <c r="D1521" t="s">
        <v>67</v>
      </c>
      <c r="H1521" t="str">
        <f t="shared" si="201"/>
        <v>02790240101</v>
      </c>
      <c r="I1521" t="str">
        <f t="shared" si="201"/>
        <v>02790240101</v>
      </c>
      <c r="K1521" t="str">
        <f>""</f>
        <v/>
      </c>
      <c r="M1521" t="s">
        <v>68</v>
      </c>
      <c r="N1521" t="str">
        <f t="shared" si="202"/>
        <v>FOR</v>
      </c>
      <c r="O1521" t="s">
        <v>69</v>
      </c>
      <c r="P1521" t="s">
        <v>75</v>
      </c>
      <c r="Q1521">
        <v>2016</v>
      </c>
      <c r="R1521" s="4">
        <v>42475</v>
      </c>
      <c r="S1521" s="2">
        <v>42481</v>
      </c>
      <c r="T1521" s="2">
        <v>42480</v>
      </c>
      <c r="U1521" s="4">
        <v>42540</v>
      </c>
      <c r="V1521" t="s">
        <v>71</v>
      </c>
      <c r="W1521" t="str">
        <f>"                6271"</f>
        <v xml:space="preserve">                6271</v>
      </c>
      <c r="X1521">
        <v>492.39</v>
      </c>
      <c r="Y1521">
        <v>0</v>
      </c>
      <c r="Z1521" s="5">
        <v>403.6</v>
      </c>
      <c r="AA1521" s="3">
        <v>242</v>
      </c>
      <c r="AB1521" s="5">
        <v>97671.2</v>
      </c>
      <c r="AC1521">
        <v>403.6</v>
      </c>
      <c r="AD1521">
        <v>242</v>
      </c>
      <c r="AE1521" s="1">
        <v>97671.2</v>
      </c>
      <c r="AF1521">
        <v>0</v>
      </c>
      <c r="AJ1521">
        <v>0</v>
      </c>
      <c r="AK1521">
        <v>0</v>
      </c>
      <c r="AL1521">
        <v>0</v>
      </c>
      <c r="AM1521">
        <v>0</v>
      </c>
      <c r="AN1521">
        <v>0</v>
      </c>
      <c r="AO1521">
        <v>0</v>
      </c>
      <c r="AP1521" s="2">
        <v>42831</v>
      </c>
      <c r="AQ1521" t="s">
        <v>72</v>
      </c>
      <c r="AR1521" t="s">
        <v>72</v>
      </c>
      <c r="AS1521">
        <v>483</v>
      </c>
      <c r="AT1521" s="4">
        <v>42782</v>
      </c>
      <c r="AU1521" t="s">
        <v>73</v>
      </c>
      <c r="AV1521">
        <v>483</v>
      </c>
      <c r="AW1521" s="4">
        <v>42782</v>
      </c>
      <c r="BD1521">
        <v>0</v>
      </c>
      <c r="BN1521" t="s">
        <v>74</v>
      </c>
    </row>
    <row r="1522" spans="1:66">
      <c r="A1522">
        <v>103852</v>
      </c>
      <c r="B1522" t="s">
        <v>363</v>
      </c>
      <c r="C1522" s="1">
        <v>43300101</v>
      </c>
      <c r="D1522" t="s">
        <v>67</v>
      </c>
      <c r="H1522" t="str">
        <f t="shared" si="201"/>
        <v>02790240101</v>
      </c>
      <c r="I1522" t="str">
        <f t="shared" si="201"/>
        <v>02790240101</v>
      </c>
      <c r="K1522" t="str">
        <f>""</f>
        <v/>
      </c>
      <c r="M1522" t="s">
        <v>68</v>
      </c>
      <c r="N1522" t="str">
        <f t="shared" si="202"/>
        <v>FOR</v>
      </c>
      <c r="O1522" t="s">
        <v>69</v>
      </c>
      <c r="P1522" t="s">
        <v>75</v>
      </c>
      <c r="Q1522">
        <v>2016</v>
      </c>
      <c r="R1522" s="4">
        <v>42489</v>
      </c>
      <c r="S1522" s="2">
        <v>42496</v>
      </c>
      <c r="T1522" s="2">
        <v>42494</v>
      </c>
      <c r="U1522" s="4">
        <v>42554</v>
      </c>
      <c r="V1522" t="s">
        <v>71</v>
      </c>
      <c r="W1522" t="str">
        <f>"                7200"</f>
        <v xml:space="preserve">                7200</v>
      </c>
      <c r="X1522">
        <v>469.7</v>
      </c>
      <c r="Y1522">
        <v>0</v>
      </c>
      <c r="Z1522" s="5">
        <v>385</v>
      </c>
      <c r="AA1522" s="3">
        <v>228</v>
      </c>
      <c r="AB1522" s="5">
        <v>87780</v>
      </c>
      <c r="AC1522">
        <v>385</v>
      </c>
      <c r="AD1522">
        <v>228</v>
      </c>
      <c r="AE1522" s="1">
        <v>87780</v>
      </c>
      <c r="AF1522">
        <v>0</v>
      </c>
      <c r="AJ1522">
        <v>0</v>
      </c>
      <c r="AK1522">
        <v>0</v>
      </c>
      <c r="AL1522">
        <v>0</v>
      </c>
      <c r="AM1522">
        <v>0</v>
      </c>
      <c r="AN1522">
        <v>0</v>
      </c>
      <c r="AO1522">
        <v>0</v>
      </c>
      <c r="AP1522" s="2">
        <v>42831</v>
      </c>
      <c r="AQ1522" t="s">
        <v>72</v>
      </c>
      <c r="AR1522" t="s">
        <v>72</v>
      </c>
      <c r="AS1522">
        <v>483</v>
      </c>
      <c r="AT1522" s="4">
        <v>42782</v>
      </c>
      <c r="AU1522" t="s">
        <v>73</v>
      </c>
      <c r="AV1522">
        <v>483</v>
      </c>
      <c r="AW1522" s="4">
        <v>42782</v>
      </c>
      <c r="BD1522">
        <v>0</v>
      </c>
      <c r="BN1522" t="s">
        <v>74</v>
      </c>
    </row>
    <row r="1523" spans="1:66">
      <c r="A1523">
        <v>103852</v>
      </c>
      <c r="B1523" t="s">
        <v>363</v>
      </c>
      <c r="C1523" s="1">
        <v>43300101</v>
      </c>
      <c r="D1523" t="s">
        <v>67</v>
      </c>
      <c r="H1523" t="str">
        <f t="shared" si="201"/>
        <v>02790240101</v>
      </c>
      <c r="I1523" t="str">
        <f t="shared" si="201"/>
        <v>02790240101</v>
      </c>
      <c r="K1523" t="str">
        <f>""</f>
        <v/>
      </c>
      <c r="M1523" t="s">
        <v>68</v>
      </c>
      <c r="N1523" t="str">
        <f t="shared" si="202"/>
        <v>FOR</v>
      </c>
      <c r="O1523" t="s">
        <v>69</v>
      </c>
      <c r="P1523" t="s">
        <v>75</v>
      </c>
      <c r="Q1523">
        <v>2016</v>
      </c>
      <c r="R1523" s="4">
        <v>42489</v>
      </c>
      <c r="S1523" s="2">
        <v>42496</v>
      </c>
      <c r="T1523" s="2">
        <v>42494</v>
      </c>
      <c r="U1523" s="4">
        <v>42554</v>
      </c>
      <c r="V1523" t="s">
        <v>71</v>
      </c>
      <c r="W1523" t="str">
        <f>"                7201"</f>
        <v xml:space="preserve">                7201</v>
      </c>
      <c r="X1523">
        <v>363.07</v>
      </c>
      <c r="Y1523">
        <v>0</v>
      </c>
      <c r="Z1523" s="5">
        <v>297.60000000000002</v>
      </c>
      <c r="AA1523" s="3">
        <v>228</v>
      </c>
      <c r="AB1523" s="5">
        <v>67852.800000000003</v>
      </c>
      <c r="AC1523">
        <v>297.60000000000002</v>
      </c>
      <c r="AD1523">
        <v>228</v>
      </c>
      <c r="AE1523" s="1">
        <v>67852.800000000003</v>
      </c>
      <c r="AF1523">
        <v>0</v>
      </c>
      <c r="AJ1523">
        <v>0</v>
      </c>
      <c r="AK1523">
        <v>0</v>
      </c>
      <c r="AL1523">
        <v>0</v>
      </c>
      <c r="AM1523">
        <v>0</v>
      </c>
      <c r="AN1523">
        <v>0</v>
      </c>
      <c r="AO1523">
        <v>0</v>
      </c>
      <c r="AP1523" s="2">
        <v>42831</v>
      </c>
      <c r="AQ1523" t="s">
        <v>72</v>
      </c>
      <c r="AR1523" t="s">
        <v>72</v>
      </c>
      <c r="AS1523">
        <v>483</v>
      </c>
      <c r="AT1523" s="4">
        <v>42782</v>
      </c>
      <c r="AU1523" t="s">
        <v>73</v>
      </c>
      <c r="AV1523">
        <v>483</v>
      </c>
      <c r="AW1523" s="4">
        <v>42782</v>
      </c>
      <c r="BD1523">
        <v>0</v>
      </c>
      <c r="BN1523" t="s">
        <v>74</v>
      </c>
    </row>
    <row r="1524" spans="1:66">
      <c r="A1524">
        <v>103852</v>
      </c>
      <c r="B1524" t="s">
        <v>363</v>
      </c>
      <c r="C1524" s="1">
        <v>43300101</v>
      </c>
      <c r="D1524" t="s">
        <v>67</v>
      </c>
      <c r="H1524" t="str">
        <f t="shared" si="201"/>
        <v>02790240101</v>
      </c>
      <c r="I1524" t="str">
        <f t="shared" si="201"/>
        <v>02790240101</v>
      </c>
      <c r="K1524" t="str">
        <f>""</f>
        <v/>
      </c>
      <c r="M1524" t="s">
        <v>68</v>
      </c>
      <c r="N1524" t="str">
        <f t="shared" si="202"/>
        <v>FOR</v>
      </c>
      <c r="O1524" t="s">
        <v>69</v>
      </c>
      <c r="P1524" t="s">
        <v>75</v>
      </c>
      <c r="Q1524">
        <v>2016</v>
      </c>
      <c r="R1524" s="4">
        <v>42489</v>
      </c>
      <c r="S1524" s="2">
        <v>42496</v>
      </c>
      <c r="T1524" s="2">
        <v>42494</v>
      </c>
      <c r="U1524" s="4">
        <v>42554</v>
      </c>
      <c r="V1524" t="s">
        <v>71</v>
      </c>
      <c r="W1524" t="str">
        <f>"                7202"</f>
        <v xml:space="preserve">                7202</v>
      </c>
      <c r="X1524" s="1">
        <v>1557.01</v>
      </c>
      <c r="Y1524">
        <v>0</v>
      </c>
      <c r="Z1524" s="5">
        <v>1276.24</v>
      </c>
      <c r="AA1524" s="3">
        <v>228</v>
      </c>
      <c r="AB1524" s="5">
        <v>290982.71999999997</v>
      </c>
      <c r="AC1524" s="1">
        <v>1276.24</v>
      </c>
      <c r="AD1524">
        <v>228</v>
      </c>
      <c r="AE1524" s="1">
        <v>290982.71999999997</v>
      </c>
      <c r="AF1524">
        <v>0</v>
      </c>
      <c r="AJ1524">
        <v>0</v>
      </c>
      <c r="AK1524">
        <v>0</v>
      </c>
      <c r="AL1524">
        <v>0</v>
      </c>
      <c r="AM1524">
        <v>0</v>
      </c>
      <c r="AN1524">
        <v>0</v>
      </c>
      <c r="AO1524">
        <v>0</v>
      </c>
      <c r="AP1524" s="2">
        <v>42831</v>
      </c>
      <c r="AQ1524" t="s">
        <v>72</v>
      </c>
      <c r="AR1524" t="s">
        <v>72</v>
      </c>
      <c r="AS1524">
        <v>483</v>
      </c>
      <c r="AT1524" s="4">
        <v>42782</v>
      </c>
      <c r="AU1524" t="s">
        <v>73</v>
      </c>
      <c r="AV1524">
        <v>483</v>
      </c>
      <c r="AW1524" s="4">
        <v>42782</v>
      </c>
      <c r="BD1524">
        <v>0</v>
      </c>
      <c r="BN1524" t="s">
        <v>74</v>
      </c>
    </row>
    <row r="1525" spans="1:66">
      <c r="A1525">
        <v>103852</v>
      </c>
      <c r="B1525" t="s">
        <v>363</v>
      </c>
      <c r="C1525" s="1">
        <v>43300101</v>
      </c>
      <c r="D1525" t="s">
        <v>67</v>
      </c>
      <c r="H1525" t="str">
        <f t="shared" si="201"/>
        <v>02790240101</v>
      </c>
      <c r="I1525" t="str">
        <f t="shared" si="201"/>
        <v>02790240101</v>
      </c>
      <c r="K1525" t="str">
        <f>""</f>
        <v/>
      </c>
      <c r="M1525" t="s">
        <v>68</v>
      </c>
      <c r="N1525" t="str">
        <f t="shared" si="202"/>
        <v>FOR</v>
      </c>
      <c r="O1525" t="s">
        <v>69</v>
      </c>
      <c r="P1525" t="s">
        <v>75</v>
      </c>
      <c r="Q1525">
        <v>2016</v>
      </c>
      <c r="R1525" s="4">
        <v>42489</v>
      </c>
      <c r="S1525" s="2">
        <v>42496</v>
      </c>
      <c r="T1525" s="2">
        <v>42495</v>
      </c>
      <c r="U1525" s="4">
        <v>42555</v>
      </c>
      <c r="V1525" t="s">
        <v>71</v>
      </c>
      <c r="W1525" t="str">
        <f>"                7203"</f>
        <v xml:space="preserve">                7203</v>
      </c>
      <c r="X1525" s="1">
        <v>1390.8</v>
      </c>
      <c r="Y1525">
        <v>0</v>
      </c>
      <c r="Z1525" s="5">
        <v>1140</v>
      </c>
      <c r="AA1525" s="3">
        <v>227</v>
      </c>
      <c r="AB1525" s="5">
        <v>258780</v>
      </c>
      <c r="AC1525" s="1">
        <v>1140</v>
      </c>
      <c r="AD1525">
        <v>227</v>
      </c>
      <c r="AE1525" s="1">
        <v>258780</v>
      </c>
      <c r="AF1525">
        <v>0</v>
      </c>
      <c r="AJ1525">
        <v>0</v>
      </c>
      <c r="AK1525">
        <v>0</v>
      </c>
      <c r="AL1525">
        <v>0</v>
      </c>
      <c r="AM1525">
        <v>0</v>
      </c>
      <c r="AN1525">
        <v>0</v>
      </c>
      <c r="AO1525">
        <v>0</v>
      </c>
      <c r="AP1525" s="2">
        <v>42831</v>
      </c>
      <c r="AQ1525" t="s">
        <v>72</v>
      </c>
      <c r="AR1525" t="s">
        <v>72</v>
      </c>
      <c r="AS1525">
        <v>483</v>
      </c>
      <c r="AT1525" s="4">
        <v>42782</v>
      </c>
      <c r="AU1525" t="s">
        <v>73</v>
      </c>
      <c r="AV1525">
        <v>483</v>
      </c>
      <c r="AW1525" s="4">
        <v>42782</v>
      </c>
      <c r="BD1525">
        <v>0</v>
      </c>
      <c r="BN1525" t="s">
        <v>74</v>
      </c>
    </row>
    <row r="1526" spans="1:66">
      <c r="A1526">
        <v>103852</v>
      </c>
      <c r="B1526" t="s">
        <v>363</v>
      </c>
      <c r="C1526" s="1">
        <v>43300101</v>
      </c>
      <c r="D1526" t="s">
        <v>67</v>
      </c>
      <c r="H1526" t="str">
        <f t="shared" si="201"/>
        <v>02790240101</v>
      </c>
      <c r="I1526" t="str">
        <f t="shared" si="201"/>
        <v>02790240101</v>
      </c>
      <c r="K1526" t="str">
        <f>""</f>
        <v/>
      </c>
      <c r="M1526" t="s">
        <v>68</v>
      </c>
      <c r="N1526" t="str">
        <f t="shared" si="202"/>
        <v>FOR</v>
      </c>
      <c r="O1526" t="s">
        <v>69</v>
      </c>
      <c r="P1526" t="s">
        <v>75</v>
      </c>
      <c r="Q1526">
        <v>2016</v>
      </c>
      <c r="R1526" s="4">
        <v>42489</v>
      </c>
      <c r="S1526" s="2">
        <v>42496</v>
      </c>
      <c r="T1526" s="2">
        <v>42494</v>
      </c>
      <c r="U1526" s="4">
        <v>42554</v>
      </c>
      <c r="V1526" t="s">
        <v>71</v>
      </c>
      <c r="W1526" t="str">
        <f>"                7204"</f>
        <v xml:space="preserve">                7204</v>
      </c>
      <c r="X1526" s="1">
        <v>1584.07</v>
      </c>
      <c r="Y1526">
        <v>0</v>
      </c>
      <c r="Z1526" s="5">
        <v>1298.42</v>
      </c>
      <c r="AA1526" s="3">
        <v>228</v>
      </c>
      <c r="AB1526" s="5">
        <v>296039.76</v>
      </c>
      <c r="AC1526" s="1">
        <v>1298.42</v>
      </c>
      <c r="AD1526">
        <v>228</v>
      </c>
      <c r="AE1526" s="1">
        <v>296039.76</v>
      </c>
      <c r="AF1526">
        <v>0</v>
      </c>
      <c r="AJ1526">
        <v>0</v>
      </c>
      <c r="AK1526">
        <v>0</v>
      </c>
      <c r="AL1526">
        <v>0</v>
      </c>
      <c r="AM1526">
        <v>0</v>
      </c>
      <c r="AN1526">
        <v>0</v>
      </c>
      <c r="AO1526">
        <v>0</v>
      </c>
      <c r="AP1526" s="2">
        <v>42831</v>
      </c>
      <c r="AQ1526" t="s">
        <v>72</v>
      </c>
      <c r="AR1526" t="s">
        <v>72</v>
      </c>
      <c r="AS1526">
        <v>483</v>
      </c>
      <c r="AT1526" s="4">
        <v>42782</v>
      </c>
      <c r="AU1526" t="s">
        <v>73</v>
      </c>
      <c r="AV1526">
        <v>483</v>
      </c>
      <c r="AW1526" s="4">
        <v>42782</v>
      </c>
      <c r="BD1526">
        <v>0</v>
      </c>
      <c r="BN1526" t="s">
        <v>74</v>
      </c>
    </row>
    <row r="1527" spans="1:66">
      <c r="A1527">
        <v>103852</v>
      </c>
      <c r="B1527" t="s">
        <v>363</v>
      </c>
      <c r="C1527" s="1">
        <v>43300101</v>
      </c>
      <c r="D1527" t="s">
        <v>67</v>
      </c>
      <c r="H1527" t="str">
        <f t="shared" si="201"/>
        <v>02790240101</v>
      </c>
      <c r="I1527" t="str">
        <f t="shared" si="201"/>
        <v>02790240101</v>
      </c>
      <c r="K1527" t="str">
        <f>""</f>
        <v/>
      </c>
      <c r="M1527" t="s">
        <v>68</v>
      </c>
      <c r="N1527" t="str">
        <f t="shared" si="202"/>
        <v>FOR</v>
      </c>
      <c r="O1527" t="s">
        <v>69</v>
      </c>
      <c r="P1527" t="s">
        <v>75</v>
      </c>
      <c r="Q1527">
        <v>2016</v>
      </c>
      <c r="R1527" s="4">
        <v>42489</v>
      </c>
      <c r="S1527" s="2">
        <v>42496</v>
      </c>
      <c r="T1527" s="2">
        <v>42494</v>
      </c>
      <c r="U1527" s="4">
        <v>42554</v>
      </c>
      <c r="V1527" t="s">
        <v>71</v>
      </c>
      <c r="W1527" t="str">
        <f>"                7205"</f>
        <v xml:space="preserve">                7205</v>
      </c>
      <c r="X1527" s="1">
        <v>7839.72</v>
      </c>
      <c r="Y1527">
        <v>0</v>
      </c>
      <c r="Z1527" s="5">
        <v>6426</v>
      </c>
      <c r="AA1527" s="3">
        <v>228</v>
      </c>
      <c r="AB1527" s="5">
        <v>1465128</v>
      </c>
      <c r="AC1527" s="1">
        <v>6426</v>
      </c>
      <c r="AD1527">
        <v>228</v>
      </c>
      <c r="AE1527" s="1">
        <v>1465128</v>
      </c>
      <c r="AF1527">
        <v>0</v>
      </c>
      <c r="AJ1527">
        <v>0</v>
      </c>
      <c r="AK1527">
        <v>0</v>
      </c>
      <c r="AL1527">
        <v>0</v>
      </c>
      <c r="AM1527">
        <v>0</v>
      </c>
      <c r="AN1527">
        <v>0</v>
      </c>
      <c r="AO1527">
        <v>0</v>
      </c>
      <c r="AP1527" s="2">
        <v>42831</v>
      </c>
      <c r="AQ1527" t="s">
        <v>72</v>
      </c>
      <c r="AR1527" t="s">
        <v>72</v>
      </c>
      <c r="AS1527">
        <v>483</v>
      </c>
      <c r="AT1527" s="4">
        <v>42782</v>
      </c>
      <c r="AU1527" t="s">
        <v>73</v>
      </c>
      <c r="AV1527">
        <v>483</v>
      </c>
      <c r="AW1527" s="4">
        <v>42782</v>
      </c>
      <c r="BD1527">
        <v>0</v>
      </c>
      <c r="BN1527" t="s">
        <v>74</v>
      </c>
    </row>
    <row r="1528" spans="1:66">
      <c r="A1528">
        <v>103852</v>
      </c>
      <c r="B1528" t="s">
        <v>363</v>
      </c>
      <c r="C1528" s="1">
        <v>43300101</v>
      </c>
      <c r="D1528" t="s">
        <v>67</v>
      </c>
      <c r="H1528" t="str">
        <f t="shared" si="201"/>
        <v>02790240101</v>
      </c>
      <c r="I1528" t="str">
        <f t="shared" si="201"/>
        <v>02790240101</v>
      </c>
      <c r="K1528" t="str">
        <f>""</f>
        <v/>
      </c>
      <c r="M1528" t="s">
        <v>68</v>
      </c>
      <c r="N1528" t="str">
        <f t="shared" si="202"/>
        <v>FOR</v>
      </c>
      <c r="O1528" t="s">
        <v>69</v>
      </c>
      <c r="P1528" t="s">
        <v>75</v>
      </c>
      <c r="Q1528">
        <v>2016</v>
      </c>
      <c r="R1528" s="4">
        <v>42503</v>
      </c>
      <c r="S1528" s="2">
        <v>42520</v>
      </c>
      <c r="T1528" s="2">
        <v>42509</v>
      </c>
      <c r="U1528" s="4">
        <v>42569</v>
      </c>
      <c r="V1528" t="s">
        <v>71</v>
      </c>
      <c r="W1528" t="str">
        <f>"                8117"</f>
        <v xml:space="preserve">                8117</v>
      </c>
      <c r="X1528">
        <v>755.79</v>
      </c>
      <c r="Y1528">
        <v>0</v>
      </c>
      <c r="Z1528" s="5">
        <v>619.5</v>
      </c>
      <c r="AA1528" s="3">
        <v>226</v>
      </c>
      <c r="AB1528" s="5">
        <v>140007</v>
      </c>
      <c r="AC1528">
        <v>619.5</v>
      </c>
      <c r="AD1528">
        <v>226</v>
      </c>
      <c r="AE1528" s="1">
        <v>140007</v>
      </c>
      <c r="AF1528">
        <v>136.29</v>
      </c>
      <c r="AJ1528">
        <v>0</v>
      </c>
      <c r="AK1528">
        <v>0</v>
      </c>
      <c r="AL1528">
        <v>0</v>
      </c>
      <c r="AM1528">
        <v>0</v>
      </c>
      <c r="AN1528">
        <v>0</v>
      </c>
      <c r="AO1528">
        <v>0</v>
      </c>
      <c r="AP1528" s="2">
        <v>42831</v>
      </c>
      <c r="AQ1528" t="s">
        <v>72</v>
      </c>
      <c r="AR1528" t="s">
        <v>72</v>
      </c>
      <c r="AS1528">
        <v>638</v>
      </c>
      <c r="AT1528" s="4">
        <v>42795</v>
      </c>
      <c r="AU1528" t="s">
        <v>73</v>
      </c>
      <c r="AV1528">
        <v>638</v>
      </c>
      <c r="AW1528" s="4">
        <v>42795</v>
      </c>
      <c r="BD1528">
        <v>136.29</v>
      </c>
      <c r="BN1528" t="s">
        <v>74</v>
      </c>
    </row>
    <row r="1529" spans="1:66">
      <c r="A1529">
        <v>103852</v>
      </c>
      <c r="B1529" t="s">
        <v>363</v>
      </c>
      <c r="C1529" s="1">
        <v>43300101</v>
      </c>
      <c r="D1529" t="s">
        <v>67</v>
      </c>
      <c r="H1529" t="str">
        <f t="shared" si="201"/>
        <v>02790240101</v>
      </c>
      <c r="I1529" t="str">
        <f t="shared" si="201"/>
        <v>02790240101</v>
      </c>
      <c r="K1529" t="str">
        <f>""</f>
        <v/>
      </c>
      <c r="M1529" t="s">
        <v>68</v>
      </c>
      <c r="N1529" t="str">
        <f t="shared" si="202"/>
        <v>FOR</v>
      </c>
      <c r="O1529" t="s">
        <v>69</v>
      </c>
      <c r="P1529" t="s">
        <v>75</v>
      </c>
      <c r="Q1529">
        <v>2016</v>
      </c>
      <c r="R1529" s="4">
        <v>42503</v>
      </c>
      <c r="S1529" s="2">
        <v>42516</v>
      </c>
      <c r="T1529" s="2">
        <v>42509</v>
      </c>
      <c r="U1529" s="4">
        <v>42569</v>
      </c>
      <c r="V1529" t="s">
        <v>71</v>
      </c>
      <c r="W1529" t="str">
        <f>"                8118"</f>
        <v xml:space="preserve">                8118</v>
      </c>
      <c r="X1529">
        <v>469.7</v>
      </c>
      <c r="Y1529">
        <v>0</v>
      </c>
      <c r="Z1529" s="5">
        <v>385</v>
      </c>
      <c r="AA1529" s="3">
        <v>226</v>
      </c>
      <c r="AB1529" s="5">
        <v>87010</v>
      </c>
      <c r="AC1529">
        <v>385</v>
      </c>
      <c r="AD1529">
        <v>226</v>
      </c>
      <c r="AE1529" s="1">
        <v>87010</v>
      </c>
      <c r="AF1529">
        <v>84.7</v>
      </c>
      <c r="AJ1529">
        <v>0</v>
      </c>
      <c r="AK1529">
        <v>0</v>
      </c>
      <c r="AL1529">
        <v>0</v>
      </c>
      <c r="AM1529">
        <v>0</v>
      </c>
      <c r="AN1529">
        <v>0</v>
      </c>
      <c r="AO1529">
        <v>0</v>
      </c>
      <c r="AP1529" s="2">
        <v>42831</v>
      </c>
      <c r="AQ1529" t="s">
        <v>72</v>
      </c>
      <c r="AR1529" t="s">
        <v>72</v>
      </c>
      <c r="AS1529">
        <v>638</v>
      </c>
      <c r="AT1529" s="4">
        <v>42795</v>
      </c>
      <c r="AU1529" t="s">
        <v>73</v>
      </c>
      <c r="AV1529">
        <v>638</v>
      </c>
      <c r="AW1529" s="4">
        <v>42795</v>
      </c>
      <c r="BD1529">
        <v>84.7</v>
      </c>
      <c r="BN1529" t="s">
        <v>74</v>
      </c>
    </row>
    <row r="1530" spans="1:66">
      <c r="A1530">
        <v>103852</v>
      </c>
      <c r="B1530" t="s">
        <v>363</v>
      </c>
      <c r="C1530" s="1">
        <v>43300101</v>
      </c>
      <c r="D1530" t="s">
        <v>67</v>
      </c>
      <c r="H1530" t="str">
        <f t="shared" si="201"/>
        <v>02790240101</v>
      </c>
      <c r="I1530" t="str">
        <f t="shared" si="201"/>
        <v>02790240101</v>
      </c>
      <c r="K1530" t="str">
        <f>""</f>
        <v/>
      </c>
      <c r="M1530" t="s">
        <v>68</v>
      </c>
      <c r="N1530" t="str">
        <f t="shared" si="202"/>
        <v>FOR</v>
      </c>
      <c r="O1530" t="s">
        <v>69</v>
      </c>
      <c r="P1530" t="s">
        <v>75</v>
      </c>
      <c r="Q1530">
        <v>2016</v>
      </c>
      <c r="R1530" s="4">
        <v>42503</v>
      </c>
      <c r="S1530" s="2">
        <v>42516</v>
      </c>
      <c r="T1530" s="2">
        <v>42509</v>
      </c>
      <c r="U1530" s="4">
        <v>42569</v>
      </c>
      <c r="V1530" t="s">
        <v>71</v>
      </c>
      <c r="W1530" t="str">
        <f>"                8119"</f>
        <v xml:space="preserve">                8119</v>
      </c>
      <c r="X1530">
        <v>402.6</v>
      </c>
      <c r="Y1530">
        <v>0</v>
      </c>
      <c r="Z1530" s="5">
        <v>330</v>
      </c>
      <c r="AA1530" s="3">
        <v>226</v>
      </c>
      <c r="AB1530" s="5">
        <v>74580</v>
      </c>
      <c r="AC1530">
        <v>330</v>
      </c>
      <c r="AD1530">
        <v>226</v>
      </c>
      <c r="AE1530" s="1">
        <v>74580</v>
      </c>
      <c r="AF1530">
        <v>72.599999999999994</v>
      </c>
      <c r="AJ1530">
        <v>0</v>
      </c>
      <c r="AK1530">
        <v>0</v>
      </c>
      <c r="AL1530">
        <v>0</v>
      </c>
      <c r="AM1530">
        <v>0</v>
      </c>
      <c r="AN1530">
        <v>0</v>
      </c>
      <c r="AO1530">
        <v>0</v>
      </c>
      <c r="AP1530" s="2">
        <v>42831</v>
      </c>
      <c r="AQ1530" t="s">
        <v>72</v>
      </c>
      <c r="AR1530" t="s">
        <v>72</v>
      </c>
      <c r="AS1530">
        <v>638</v>
      </c>
      <c r="AT1530" s="4">
        <v>42795</v>
      </c>
      <c r="AU1530" t="s">
        <v>73</v>
      </c>
      <c r="AV1530">
        <v>638</v>
      </c>
      <c r="AW1530" s="4">
        <v>42795</v>
      </c>
      <c r="BD1530">
        <v>72.599999999999994</v>
      </c>
      <c r="BN1530" t="s">
        <v>74</v>
      </c>
    </row>
    <row r="1531" spans="1:66">
      <c r="A1531">
        <v>103852</v>
      </c>
      <c r="B1531" t="s">
        <v>363</v>
      </c>
      <c r="C1531" s="1">
        <v>43300101</v>
      </c>
      <c r="D1531" t="s">
        <v>67</v>
      </c>
      <c r="H1531" t="str">
        <f t="shared" si="201"/>
        <v>02790240101</v>
      </c>
      <c r="I1531" t="str">
        <f t="shared" si="201"/>
        <v>02790240101</v>
      </c>
      <c r="K1531" t="str">
        <f>""</f>
        <v/>
      </c>
      <c r="M1531" t="s">
        <v>68</v>
      </c>
      <c r="N1531" t="str">
        <f t="shared" si="202"/>
        <v>FOR</v>
      </c>
      <c r="O1531" t="s">
        <v>69</v>
      </c>
      <c r="P1531" t="s">
        <v>75</v>
      </c>
      <c r="Q1531">
        <v>2016</v>
      </c>
      <c r="R1531" s="4">
        <v>42503</v>
      </c>
      <c r="S1531" s="2">
        <v>42516</v>
      </c>
      <c r="T1531" s="2">
        <v>42509</v>
      </c>
      <c r="U1531" s="4">
        <v>42569</v>
      </c>
      <c r="V1531" t="s">
        <v>71</v>
      </c>
      <c r="W1531" t="str">
        <f>"                8120"</f>
        <v xml:space="preserve">                8120</v>
      </c>
      <c r="X1531" s="1">
        <v>1179.98</v>
      </c>
      <c r="Y1531">
        <v>0</v>
      </c>
      <c r="Z1531" s="5">
        <v>967.2</v>
      </c>
      <c r="AA1531" s="3">
        <v>226</v>
      </c>
      <c r="AB1531" s="5">
        <v>218587.2</v>
      </c>
      <c r="AC1531">
        <v>967.2</v>
      </c>
      <c r="AD1531">
        <v>226</v>
      </c>
      <c r="AE1531" s="1">
        <v>218587.2</v>
      </c>
      <c r="AF1531">
        <v>212.78</v>
      </c>
      <c r="AJ1531">
        <v>0</v>
      </c>
      <c r="AK1531">
        <v>0</v>
      </c>
      <c r="AL1531">
        <v>0</v>
      </c>
      <c r="AM1531">
        <v>0</v>
      </c>
      <c r="AN1531">
        <v>0</v>
      </c>
      <c r="AO1531">
        <v>0</v>
      </c>
      <c r="AP1531" s="2">
        <v>42831</v>
      </c>
      <c r="AQ1531" t="s">
        <v>72</v>
      </c>
      <c r="AR1531" t="s">
        <v>72</v>
      </c>
      <c r="AS1531">
        <v>638</v>
      </c>
      <c r="AT1531" s="4">
        <v>42795</v>
      </c>
      <c r="AU1531" t="s">
        <v>73</v>
      </c>
      <c r="AV1531">
        <v>638</v>
      </c>
      <c r="AW1531" s="4">
        <v>42795</v>
      </c>
      <c r="BD1531">
        <v>212.78</v>
      </c>
      <c r="BN1531" t="s">
        <v>74</v>
      </c>
    </row>
    <row r="1532" spans="1:66">
      <c r="A1532">
        <v>103852</v>
      </c>
      <c r="B1532" t="s">
        <v>363</v>
      </c>
      <c r="C1532" s="1">
        <v>43300101</v>
      </c>
      <c r="D1532" t="s">
        <v>67</v>
      </c>
      <c r="H1532" t="str">
        <f t="shared" si="201"/>
        <v>02790240101</v>
      </c>
      <c r="I1532" t="str">
        <f t="shared" si="201"/>
        <v>02790240101</v>
      </c>
      <c r="K1532" t="str">
        <f>""</f>
        <v/>
      </c>
      <c r="M1532" t="s">
        <v>68</v>
      </c>
      <c r="N1532" t="str">
        <f t="shared" si="202"/>
        <v>FOR</v>
      </c>
      <c r="O1532" t="s">
        <v>69</v>
      </c>
      <c r="P1532" t="s">
        <v>75</v>
      </c>
      <c r="Q1532">
        <v>2016</v>
      </c>
      <c r="R1532" s="4">
        <v>42503</v>
      </c>
      <c r="S1532" s="2">
        <v>42516</v>
      </c>
      <c r="T1532" s="2">
        <v>42509</v>
      </c>
      <c r="U1532" s="4">
        <v>42569</v>
      </c>
      <c r="V1532" t="s">
        <v>71</v>
      </c>
      <c r="W1532" t="str">
        <f>"                8121"</f>
        <v xml:space="preserve">                8121</v>
      </c>
      <c r="X1532">
        <v>225.7</v>
      </c>
      <c r="Y1532">
        <v>0</v>
      </c>
      <c r="Z1532" s="5">
        <v>185</v>
      </c>
      <c r="AA1532" s="3">
        <v>226</v>
      </c>
      <c r="AB1532" s="5">
        <v>41810</v>
      </c>
      <c r="AC1532">
        <v>185</v>
      </c>
      <c r="AD1532">
        <v>226</v>
      </c>
      <c r="AE1532" s="1">
        <v>41810</v>
      </c>
      <c r="AF1532">
        <v>40.700000000000003</v>
      </c>
      <c r="AJ1532">
        <v>0</v>
      </c>
      <c r="AK1532">
        <v>0</v>
      </c>
      <c r="AL1532">
        <v>0</v>
      </c>
      <c r="AM1532">
        <v>0</v>
      </c>
      <c r="AN1532">
        <v>0</v>
      </c>
      <c r="AO1532">
        <v>0</v>
      </c>
      <c r="AP1532" s="2">
        <v>42831</v>
      </c>
      <c r="AQ1532" t="s">
        <v>72</v>
      </c>
      <c r="AR1532" t="s">
        <v>72</v>
      </c>
      <c r="AS1532">
        <v>638</v>
      </c>
      <c r="AT1532" s="4">
        <v>42795</v>
      </c>
      <c r="AU1532" t="s">
        <v>73</v>
      </c>
      <c r="AV1532">
        <v>638</v>
      </c>
      <c r="AW1532" s="4">
        <v>42795</v>
      </c>
      <c r="BD1532">
        <v>40.700000000000003</v>
      </c>
      <c r="BN1532" t="s">
        <v>74</v>
      </c>
    </row>
    <row r="1533" spans="1:66">
      <c r="A1533">
        <v>103852</v>
      </c>
      <c r="B1533" t="s">
        <v>363</v>
      </c>
      <c r="C1533" s="1">
        <v>43300101</v>
      </c>
      <c r="D1533" t="s">
        <v>67</v>
      </c>
      <c r="H1533" t="str">
        <f t="shared" si="201"/>
        <v>02790240101</v>
      </c>
      <c r="I1533" t="str">
        <f t="shared" si="201"/>
        <v>02790240101</v>
      </c>
      <c r="K1533" t="str">
        <f>""</f>
        <v/>
      </c>
      <c r="M1533" t="s">
        <v>68</v>
      </c>
      <c r="N1533" t="str">
        <f t="shared" si="202"/>
        <v>FOR</v>
      </c>
      <c r="O1533" t="s">
        <v>69</v>
      </c>
      <c r="P1533" t="s">
        <v>75</v>
      </c>
      <c r="Q1533">
        <v>2016</v>
      </c>
      <c r="R1533" s="4">
        <v>42503</v>
      </c>
      <c r="S1533" s="2">
        <v>42516</v>
      </c>
      <c r="T1533" s="2">
        <v>42509</v>
      </c>
      <c r="U1533" s="4">
        <v>42569</v>
      </c>
      <c r="V1533" t="s">
        <v>71</v>
      </c>
      <c r="W1533" t="str">
        <f>"                8122"</f>
        <v xml:space="preserve">                8122</v>
      </c>
      <c r="X1533" s="1">
        <v>1390.8</v>
      </c>
      <c r="Y1533">
        <v>0</v>
      </c>
      <c r="Z1533" s="5">
        <v>1140</v>
      </c>
      <c r="AA1533" s="3">
        <v>226</v>
      </c>
      <c r="AB1533" s="5">
        <v>257640</v>
      </c>
      <c r="AC1533" s="1">
        <v>1140</v>
      </c>
      <c r="AD1533">
        <v>226</v>
      </c>
      <c r="AE1533" s="1">
        <v>257640</v>
      </c>
      <c r="AF1533">
        <v>250.8</v>
      </c>
      <c r="AJ1533">
        <v>0</v>
      </c>
      <c r="AK1533">
        <v>0</v>
      </c>
      <c r="AL1533">
        <v>0</v>
      </c>
      <c r="AM1533">
        <v>0</v>
      </c>
      <c r="AN1533">
        <v>0</v>
      </c>
      <c r="AO1533">
        <v>0</v>
      </c>
      <c r="AP1533" s="2">
        <v>42831</v>
      </c>
      <c r="AQ1533" t="s">
        <v>72</v>
      </c>
      <c r="AR1533" t="s">
        <v>72</v>
      </c>
      <c r="AS1533">
        <v>638</v>
      </c>
      <c r="AT1533" s="4">
        <v>42795</v>
      </c>
      <c r="AU1533" t="s">
        <v>73</v>
      </c>
      <c r="AV1533">
        <v>638</v>
      </c>
      <c r="AW1533" s="4">
        <v>42795</v>
      </c>
      <c r="BD1533">
        <v>250.8</v>
      </c>
      <c r="BN1533" t="s">
        <v>74</v>
      </c>
    </row>
    <row r="1534" spans="1:66">
      <c r="A1534">
        <v>103852</v>
      </c>
      <c r="B1534" t="s">
        <v>363</v>
      </c>
      <c r="C1534" s="1">
        <v>43300101</v>
      </c>
      <c r="D1534" t="s">
        <v>67</v>
      </c>
      <c r="H1534" t="str">
        <f t="shared" si="201"/>
        <v>02790240101</v>
      </c>
      <c r="I1534" t="str">
        <f t="shared" si="201"/>
        <v>02790240101</v>
      </c>
      <c r="K1534" t="str">
        <f>""</f>
        <v/>
      </c>
      <c r="M1534" t="s">
        <v>68</v>
      </c>
      <c r="N1534" t="str">
        <f t="shared" si="202"/>
        <v>FOR</v>
      </c>
      <c r="O1534" t="s">
        <v>69</v>
      </c>
      <c r="P1534" t="s">
        <v>75</v>
      </c>
      <c r="Q1534">
        <v>2016</v>
      </c>
      <c r="R1534" s="4">
        <v>42521</v>
      </c>
      <c r="S1534" s="2">
        <v>42535</v>
      </c>
      <c r="T1534" s="2">
        <v>42534</v>
      </c>
      <c r="U1534" s="4">
        <v>42594</v>
      </c>
      <c r="V1534" t="s">
        <v>71</v>
      </c>
      <c r="W1534" t="str">
        <f>"                9061"</f>
        <v xml:space="preserve">                9061</v>
      </c>
      <c r="X1534" s="1">
        <v>1567.94</v>
      </c>
      <c r="Y1534">
        <v>0</v>
      </c>
      <c r="Z1534" s="5">
        <v>1285.2</v>
      </c>
      <c r="AA1534" s="3">
        <v>201</v>
      </c>
      <c r="AB1534" s="5">
        <v>258325.2</v>
      </c>
      <c r="AC1534" s="1">
        <v>1285.2</v>
      </c>
      <c r="AD1534">
        <v>201</v>
      </c>
      <c r="AE1534" s="1">
        <v>258325.2</v>
      </c>
      <c r="AF1534">
        <v>282.74</v>
      </c>
      <c r="AJ1534">
        <v>0</v>
      </c>
      <c r="AK1534">
        <v>0</v>
      </c>
      <c r="AL1534">
        <v>0</v>
      </c>
      <c r="AM1534">
        <v>0</v>
      </c>
      <c r="AN1534">
        <v>0</v>
      </c>
      <c r="AO1534">
        <v>0</v>
      </c>
      <c r="AP1534" s="2">
        <v>42831</v>
      </c>
      <c r="AQ1534" t="s">
        <v>72</v>
      </c>
      <c r="AR1534" t="s">
        <v>72</v>
      </c>
      <c r="AS1534">
        <v>638</v>
      </c>
      <c r="AT1534" s="4">
        <v>42795</v>
      </c>
      <c r="AU1534" t="s">
        <v>73</v>
      </c>
      <c r="AV1534">
        <v>638</v>
      </c>
      <c r="AW1534" s="4">
        <v>42795</v>
      </c>
      <c r="BD1534">
        <v>282.74</v>
      </c>
      <c r="BN1534" t="s">
        <v>74</v>
      </c>
    </row>
    <row r="1535" spans="1:66">
      <c r="A1535">
        <v>103852</v>
      </c>
      <c r="B1535" t="s">
        <v>363</v>
      </c>
      <c r="C1535" s="1">
        <v>43300101</v>
      </c>
      <c r="D1535" t="s">
        <v>67</v>
      </c>
      <c r="H1535" t="str">
        <f t="shared" si="201"/>
        <v>02790240101</v>
      </c>
      <c r="I1535" t="str">
        <f t="shared" si="201"/>
        <v>02790240101</v>
      </c>
      <c r="K1535" t="str">
        <f>""</f>
        <v/>
      </c>
      <c r="M1535" t="s">
        <v>68</v>
      </c>
      <c r="N1535" t="str">
        <f t="shared" si="202"/>
        <v>FOR</v>
      </c>
      <c r="O1535" t="s">
        <v>69</v>
      </c>
      <c r="P1535" t="s">
        <v>75</v>
      </c>
      <c r="Q1535">
        <v>2016</v>
      </c>
      <c r="R1535" s="4">
        <v>42521</v>
      </c>
      <c r="S1535" s="2">
        <v>42535</v>
      </c>
      <c r="T1535" s="2">
        <v>42534</v>
      </c>
      <c r="U1535" s="4">
        <v>42594</v>
      </c>
      <c r="V1535" t="s">
        <v>71</v>
      </c>
      <c r="W1535" t="str">
        <f>"                9062"</f>
        <v xml:space="preserve">                9062</v>
      </c>
      <c r="X1535">
        <v>541.67999999999995</v>
      </c>
      <c r="Y1535">
        <v>0</v>
      </c>
      <c r="Z1535" s="5">
        <v>444</v>
      </c>
      <c r="AA1535" s="3">
        <v>201</v>
      </c>
      <c r="AB1535" s="5">
        <v>89244</v>
      </c>
      <c r="AC1535">
        <v>444</v>
      </c>
      <c r="AD1535">
        <v>201</v>
      </c>
      <c r="AE1535" s="1">
        <v>89244</v>
      </c>
      <c r="AF1535">
        <v>97.68</v>
      </c>
      <c r="AJ1535">
        <v>0</v>
      </c>
      <c r="AK1535">
        <v>0</v>
      </c>
      <c r="AL1535">
        <v>0</v>
      </c>
      <c r="AM1535">
        <v>0</v>
      </c>
      <c r="AN1535">
        <v>0</v>
      </c>
      <c r="AO1535">
        <v>0</v>
      </c>
      <c r="AP1535" s="2">
        <v>42831</v>
      </c>
      <c r="AQ1535" t="s">
        <v>72</v>
      </c>
      <c r="AR1535" t="s">
        <v>72</v>
      </c>
      <c r="AS1535">
        <v>638</v>
      </c>
      <c r="AT1535" s="4">
        <v>42795</v>
      </c>
      <c r="AU1535" t="s">
        <v>73</v>
      </c>
      <c r="AV1535">
        <v>638</v>
      </c>
      <c r="AW1535" s="4">
        <v>42795</v>
      </c>
      <c r="BD1535">
        <v>97.68</v>
      </c>
      <c r="BN1535" t="s">
        <v>74</v>
      </c>
    </row>
    <row r="1536" spans="1:66">
      <c r="A1536">
        <v>103852</v>
      </c>
      <c r="B1536" t="s">
        <v>363</v>
      </c>
      <c r="C1536" s="1">
        <v>43300101</v>
      </c>
      <c r="D1536" t="s">
        <v>67</v>
      </c>
      <c r="H1536" t="str">
        <f t="shared" si="201"/>
        <v>02790240101</v>
      </c>
      <c r="I1536" t="str">
        <f t="shared" si="201"/>
        <v>02790240101</v>
      </c>
      <c r="K1536" t="str">
        <f>""</f>
        <v/>
      </c>
      <c r="M1536" t="s">
        <v>68</v>
      </c>
      <c r="N1536" t="str">
        <f t="shared" si="202"/>
        <v>FOR</v>
      </c>
      <c r="O1536" t="s">
        <v>69</v>
      </c>
      <c r="P1536" t="s">
        <v>75</v>
      </c>
      <c r="Q1536">
        <v>2016</v>
      </c>
      <c r="R1536" s="4">
        <v>42521</v>
      </c>
      <c r="S1536" s="2">
        <v>42535</v>
      </c>
      <c r="T1536" s="2">
        <v>42534</v>
      </c>
      <c r="U1536" s="4">
        <v>42594</v>
      </c>
      <c r="V1536" t="s">
        <v>71</v>
      </c>
      <c r="W1536" t="str">
        <f>"                9063"</f>
        <v xml:space="preserve">                9063</v>
      </c>
      <c r="X1536">
        <v>702.72</v>
      </c>
      <c r="Y1536">
        <v>0</v>
      </c>
      <c r="Z1536" s="5">
        <v>576</v>
      </c>
      <c r="AA1536" s="3">
        <v>201</v>
      </c>
      <c r="AB1536" s="5">
        <v>115776</v>
      </c>
      <c r="AC1536">
        <v>576</v>
      </c>
      <c r="AD1536">
        <v>201</v>
      </c>
      <c r="AE1536" s="1">
        <v>115776</v>
      </c>
      <c r="AF1536">
        <v>126.72</v>
      </c>
      <c r="AJ1536">
        <v>0</v>
      </c>
      <c r="AK1536">
        <v>0</v>
      </c>
      <c r="AL1536">
        <v>0</v>
      </c>
      <c r="AM1536">
        <v>0</v>
      </c>
      <c r="AN1536">
        <v>0</v>
      </c>
      <c r="AO1536">
        <v>0</v>
      </c>
      <c r="AP1536" s="2">
        <v>42831</v>
      </c>
      <c r="AQ1536" t="s">
        <v>72</v>
      </c>
      <c r="AR1536" t="s">
        <v>72</v>
      </c>
      <c r="AS1536">
        <v>638</v>
      </c>
      <c r="AT1536" s="4">
        <v>42795</v>
      </c>
      <c r="AU1536" t="s">
        <v>73</v>
      </c>
      <c r="AV1536">
        <v>638</v>
      </c>
      <c r="AW1536" s="4">
        <v>42795</v>
      </c>
      <c r="BD1536">
        <v>126.72</v>
      </c>
      <c r="BN1536" t="s">
        <v>74</v>
      </c>
    </row>
    <row r="1537" spans="1:66">
      <c r="A1537">
        <v>103852</v>
      </c>
      <c r="B1537" t="s">
        <v>363</v>
      </c>
      <c r="C1537" s="1">
        <v>43300101</v>
      </c>
      <c r="D1537" t="s">
        <v>67</v>
      </c>
      <c r="H1537" t="str">
        <f t="shared" si="201"/>
        <v>02790240101</v>
      </c>
      <c r="I1537" t="str">
        <f t="shared" si="201"/>
        <v>02790240101</v>
      </c>
      <c r="K1537" t="str">
        <f>""</f>
        <v/>
      </c>
      <c r="M1537" t="s">
        <v>68</v>
      </c>
      <c r="N1537" t="str">
        <f t="shared" si="202"/>
        <v>FOR</v>
      </c>
      <c r="O1537" t="s">
        <v>69</v>
      </c>
      <c r="P1537" t="s">
        <v>75</v>
      </c>
      <c r="Q1537">
        <v>2016</v>
      </c>
      <c r="R1537" s="4">
        <v>42521</v>
      </c>
      <c r="S1537" s="2">
        <v>42535</v>
      </c>
      <c r="T1537" s="2">
        <v>42534</v>
      </c>
      <c r="U1537" s="4">
        <v>42594</v>
      </c>
      <c r="V1537" t="s">
        <v>71</v>
      </c>
      <c r="W1537" t="str">
        <f>"                9064"</f>
        <v xml:space="preserve">                9064</v>
      </c>
      <c r="X1537" s="1">
        <v>2591.5700000000002</v>
      </c>
      <c r="Y1537">
        <v>0</v>
      </c>
      <c r="Z1537" s="5">
        <v>2124.2399999999998</v>
      </c>
      <c r="AA1537" s="3">
        <v>201</v>
      </c>
      <c r="AB1537" s="5">
        <v>426972.24</v>
      </c>
      <c r="AC1537" s="1">
        <v>2124.2399999999998</v>
      </c>
      <c r="AD1537">
        <v>201</v>
      </c>
      <c r="AE1537" s="1">
        <v>426972.24</v>
      </c>
      <c r="AF1537">
        <v>467.33</v>
      </c>
      <c r="AJ1537">
        <v>0</v>
      </c>
      <c r="AK1537">
        <v>0</v>
      </c>
      <c r="AL1537">
        <v>0</v>
      </c>
      <c r="AM1537">
        <v>0</v>
      </c>
      <c r="AN1537">
        <v>0</v>
      </c>
      <c r="AO1537">
        <v>0</v>
      </c>
      <c r="AP1537" s="2">
        <v>42831</v>
      </c>
      <c r="AQ1537" t="s">
        <v>72</v>
      </c>
      <c r="AR1537" t="s">
        <v>72</v>
      </c>
      <c r="AS1537">
        <v>638</v>
      </c>
      <c r="AT1537" s="4">
        <v>42795</v>
      </c>
      <c r="AU1537" t="s">
        <v>73</v>
      </c>
      <c r="AV1537">
        <v>638</v>
      </c>
      <c r="AW1537" s="4">
        <v>42795</v>
      </c>
      <c r="BD1537">
        <v>467.33</v>
      </c>
      <c r="BN1537" t="s">
        <v>74</v>
      </c>
    </row>
    <row r="1538" spans="1:66">
      <c r="A1538">
        <v>103855</v>
      </c>
      <c r="B1538" t="s">
        <v>364</v>
      </c>
      <c r="C1538" s="1">
        <v>43300101</v>
      </c>
      <c r="D1538" t="s">
        <v>67</v>
      </c>
      <c r="H1538" t="str">
        <f>"01740391204"</f>
        <v>01740391204</v>
      </c>
      <c r="I1538" t="str">
        <f>"01740391204"</f>
        <v>01740391204</v>
      </c>
      <c r="K1538" t="str">
        <f>""</f>
        <v/>
      </c>
      <c r="M1538" t="s">
        <v>68</v>
      </c>
      <c r="N1538" t="str">
        <f t="shared" si="202"/>
        <v>FOR</v>
      </c>
      <c r="O1538" t="s">
        <v>69</v>
      </c>
      <c r="P1538" t="s">
        <v>75</v>
      </c>
      <c r="Q1538">
        <v>2016</v>
      </c>
      <c r="R1538" s="4">
        <v>42443</v>
      </c>
      <c r="S1538" s="2">
        <v>42446</v>
      </c>
      <c r="T1538" s="2">
        <v>42443</v>
      </c>
      <c r="U1538" s="4">
        <v>42503</v>
      </c>
      <c r="V1538" t="s">
        <v>71</v>
      </c>
      <c r="W1538" t="str">
        <f>"                 332"</f>
        <v xml:space="preserve">                 332</v>
      </c>
      <c r="X1538" s="1">
        <v>6534.53</v>
      </c>
      <c r="Y1538">
        <v>0</v>
      </c>
      <c r="Z1538" s="5">
        <v>6283.2</v>
      </c>
      <c r="AA1538" s="3">
        <v>271</v>
      </c>
      <c r="AB1538" s="5">
        <v>1702747.2</v>
      </c>
      <c r="AC1538" s="1">
        <v>6283.2</v>
      </c>
      <c r="AD1538">
        <v>271</v>
      </c>
      <c r="AE1538" s="1">
        <v>1702747.2</v>
      </c>
      <c r="AF1538">
        <v>0</v>
      </c>
      <c r="AJ1538">
        <v>0</v>
      </c>
      <c r="AK1538">
        <v>0</v>
      </c>
      <c r="AL1538">
        <v>0</v>
      </c>
      <c r="AM1538">
        <v>0</v>
      </c>
      <c r="AN1538">
        <v>0</v>
      </c>
      <c r="AO1538">
        <v>0</v>
      </c>
      <c r="AP1538" s="2">
        <v>42831</v>
      </c>
      <c r="AQ1538" t="s">
        <v>72</v>
      </c>
      <c r="AR1538" t="s">
        <v>72</v>
      </c>
      <c r="AS1538">
        <v>344</v>
      </c>
      <c r="AT1538" s="4">
        <v>42774</v>
      </c>
      <c r="AU1538" t="s">
        <v>73</v>
      </c>
      <c r="AV1538">
        <v>344</v>
      </c>
      <c r="AW1538" s="4">
        <v>42774</v>
      </c>
      <c r="BD1538">
        <v>0</v>
      </c>
      <c r="BN1538" t="s">
        <v>74</v>
      </c>
    </row>
    <row r="1539" spans="1:66">
      <c r="A1539">
        <v>103855</v>
      </c>
      <c r="B1539" t="s">
        <v>364</v>
      </c>
      <c r="C1539" s="1">
        <v>43300101</v>
      </c>
      <c r="D1539" t="s">
        <v>67</v>
      </c>
      <c r="H1539" t="str">
        <f>"01740391204"</f>
        <v>01740391204</v>
      </c>
      <c r="I1539" t="str">
        <f>"01740391204"</f>
        <v>01740391204</v>
      </c>
      <c r="K1539" t="str">
        <f>""</f>
        <v/>
      </c>
      <c r="M1539" t="s">
        <v>68</v>
      </c>
      <c r="N1539" t="str">
        <f t="shared" si="202"/>
        <v>FOR</v>
      </c>
      <c r="O1539" t="s">
        <v>69</v>
      </c>
      <c r="P1539" t="s">
        <v>75</v>
      </c>
      <c r="Q1539">
        <v>2016</v>
      </c>
      <c r="R1539" s="4">
        <v>42443</v>
      </c>
      <c r="S1539" s="2">
        <v>42446</v>
      </c>
      <c r="T1539" s="2">
        <v>42443</v>
      </c>
      <c r="U1539" s="4">
        <v>42503</v>
      </c>
      <c r="V1539" t="s">
        <v>71</v>
      </c>
      <c r="W1539" t="str">
        <f>"                 333"</f>
        <v xml:space="preserve">                 333</v>
      </c>
      <c r="X1539" s="1">
        <v>4575</v>
      </c>
      <c r="Y1539">
        <v>0</v>
      </c>
      <c r="Z1539" s="5">
        <v>3750</v>
      </c>
      <c r="AA1539" s="3">
        <v>271</v>
      </c>
      <c r="AB1539" s="5">
        <v>1016250</v>
      </c>
      <c r="AC1539" s="1">
        <v>3750</v>
      </c>
      <c r="AD1539">
        <v>271</v>
      </c>
      <c r="AE1539" s="1">
        <v>1016250</v>
      </c>
      <c r="AF1539">
        <v>0</v>
      </c>
      <c r="AJ1539">
        <v>0</v>
      </c>
      <c r="AK1539">
        <v>0</v>
      </c>
      <c r="AL1539">
        <v>0</v>
      </c>
      <c r="AM1539">
        <v>0</v>
      </c>
      <c r="AN1539">
        <v>0</v>
      </c>
      <c r="AO1539">
        <v>0</v>
      </c>
      <c r="AP1539" s="2">
        <v>42831</v>
      </c>
      <c r="AQ1539" t="s">
        <v>72</v>
      </c>
      <c r="AR1539" t="s">
        <v>72</v>
      </c>
      <c r="AS1539">
        <v>344</v>
      </c>
      <c r="AT1539" s="4">
        <v>42774</v>
      </c>
      <c r="AU1539" t="s">
        <v>73</v>
      </c>
      <c r="AV1539">
        <v>344</v>
      </c>
      <c r="AW1539" s="4">
        <v>42774</v>
      </c>
      <c r="BD1539">
        <v>0</v>
      </c>
      <c r="BN1539" t="s">
        <v>74</v>
      </c>
    </row>
    <row r="1540" spans="1:66">
      <c r="A1540">
        <v>104007</v>
      </c>
      <c r="B1540" t="s">
        <v>365</v>
      </c>
      <c r="C1540" s="1">
        <v>43300101</v>
      </c>
      <c r="D1540" t="s">
        <v>67</v>
      </c>
      <c r="H1540" t="str">
        <f t="shared" ref="H1540:I1542" si="203">"12693140159"</f>
        <v>12693140159</v>
      </c>
      <c r="I1540" t="str">
        <f t="shared" si="203"/>
        <v>12693140159</v>
      </c>
      <c r="K1540" t="str">
        <f>""</f>
        <v/>
      </c>
      <c r="M1540" t="s">
        <v>68</v>
      </c>
      <c r="N1540" t="str">
        <f t="shared" si="202"/>
        <v>FOR</v>
      </c>
      <c r="O1540" t="s">
        <v>69</v>
      </c>
      <c r="P1540" t="s">
        <v>75</v>
      </c>
      <c r="Q1540">
        <v>2016</v>
      </c>
      <c r="R1540" s="4">
        <v>42445</v>
      </c>
      <c r="S1540" s="2">
        <v>42448</v>
      </c>
      <c r="T1540" s="2">
        <v>42447</v>
      </c>
      <c r="U1540" s="4">
        <v>42507</v>
      </c>
      <c r="V1540" t="s">
        <v>71</v>
      </c>
      <c r="W1540" t="str">
        <f>"             10633/A"</f>
        <v xml:space="preserve">             10633/A</v>
      </c>
      <c r="X1540">
        <v>932.26</v>
      </c>
      <c r="Y1540">
        <v>0</v>
      </c>
      <c r="Z1540" s="5">
        <v>896.4</v>
      </c>
      <c r="AA1540" s="3">
        <v>261</v>
      </c>
      <c r="AB1540" s="5">
        <v>233960.4</v>
      </c>
      <c r="AC1540">
        <v>896.4</v>
      </c>
      <c r="AD1540">
        <v>261</v>
      </c>
      <c r="AE1540" s="1">
        <v>233960.4</v>
      </c>
      <c r="AF1540">
        <v>0</v>
      </c>
      <c r="AJ1540">
        <v>0</v>
      </c>
      <c r="AK1540">
        <v>0</v>
      </c>
      <c r="AL1540">
        <v>0</v>
      </c>
      <c r="AM1540">
        <v>0</v>
      </c>
      <c r="AN1540">
        <v>0</v>
      </c>
      <c r="AO1540">
        <v>0</v>
      </c>
      <c r="AP1540" s="2">
        <v>42831</v>
      </c>
      <c r="AQ1540" t="s">
        <v>72</v>
      </c>
      <c r="AR1540" t="s">
        <v>72</v>
      </c>
      <c r="AS1540">
        <v>208</v>
      </c>
      <c r="AT1540" s="4">
        <v>42768</v>
      </c>
      <c r="AU1540" t="s">
        <v>73</v>
      </c>
      <c r="AV1540">
        <v>208</v>
      </c>
      <c r="AW1540" s="4">
        <v>42768</v>
      </c>
      <c r="BD1540">
        <v>0</v>
      </c>
      <c r="BN1540" t="s">
        <v>74</v>
      </c>
    </row>
    <row r="1541" spans="1:66">
      <c r="A1541">
        <v>104007</v>
      </c>
      <c r="B1541" t="s">
        <v>365</v>
      </c>
      <c r="C1541" s="1">
        <v>43300101</v>
      </c>
      <c r="D1541" t="s">
        <v>67</v>
      </c>
      <c r="H1541" t="str">
        <f t="shared" si="203"/>
        <v>12693140159</v>
      </c>
      <c r="I1541" t="str">
        <f t="shared" si="203"/>
        <v>12693140159</v>
      </c>
      <c r="K1541" t="str">
        <f>""</f>
        <v/>
      </c>
      <c r="M1541" t="s">
        <v>68</v>
      </c>
      <c r="N1541" t="str">
        <f t="shared" si="202"/>
        <v>FOR</v>
      </c>
      <c r="O1541" t="s">
        <v>69</v>
      </c>
      <c r="P1541" t="s">
        <v>75</v>
      </c>
      <c r="Q1541">
        <v>2016</v>
      </c>
      <c r="R1541" s="4">
        <v>42479</v>
      </c>
      <c r="S1541" s="2">
        <v>42481</v>
      </c>
      <c r="T1541" s="2">
        <v>42479</v>
      </c>
      <c r="U1541" s="4">
        <v>42539</v>
      </c>
      <c r="V1541" t="s">
        <v>71</v>
      </c>
      <c r="W1541" t="str">
        <f>"             10876/A"</f>
        <v xml:space="preserve">             10876/A</v>
      </c>
      <c r="X1541">
        <v>932.26</v>
      </c>
      <c r="Y1541">
        <v>0</v>
      </c>
      <c r="Z1541" s="5">
        <v>896.4</v>
      </c>
      <c r="AA1541" s="3">
        <v>229</v>
      </c>
      <c r="AB1541" s="5">
        <v>205275.6</v>
      </c>
      <c r="AC1541">
        <v>896.4</v>
      </c>
      <c r="AD1541">
        <v>229</v>
      </c>
      <c r="AE1541" s="1">
        <v>205275.6</v>
      </c>
      <c r="AF1541">
        <v>0</v>
      </c>
      <c r="AJ1541">
        <v>0</v>
      </c>
      <c r="AK1541">
        <v>0</v>
      </c>
      <c r="AL1541">
        <v>0</v>
      </c>
      <c r="AM1541">
        <v>0</v>
      </c>
      <c r="AN1541">
        <v>0</v>
      </c>
      <c r="AO1541">
        <v>0</v>
      </c>
      <c r="AP1541" s="2">
        <v>42831</v>
      </c>
      <c r="AQ1541" t="s">
        <v>72</v>
      </c>
      <c r="AR1541" t="s">
        <v>72</v>
      </c>
      <c r="AS1541">
        <v>208</v>
      </c>
      <c r="AT1541" s="4">
        <v>42768</v>
      </c>
      <c r="AU1541" t="s">
        <v>73</v>
      </c>
      <c r="AV1541">
        <v>208</v>
      </c>
      <c r="AW1541" s="4">
        <v>42768</v>
      </c>
      <c r="BD1541">
        <v>0</v>
      </c>
      <c r="BN1541" t="s">
        <v>74</v>
      </c>
    </row>
    <row r="1542" spans="1:66">
      <c r="A1542">
        <v>104007</v>
      </c>
      <c r="B1542" t="s">
        <v>365</v>
      </c>
      <c r="C1542" s="1">
        <v>43300101</v>
      </c>
      <c r="D1542" t="s">
        <v>67</v>
      </c>
      <c r="H1542" t="str">
        <f t="shared" si="203"/>
        <v>12693140159</v>
      </c>
      <c r="I1542" t="str">
        <f t="shared" si="203"/>
        <v>12693140159</v>
      </c>
      <c r="K1542" t="str">
        <f>""</f>
        <v/>
      </c>
      <c r="M1542" t="s">
        <v>68</v>
      </c>
      <c r="N1542" t="str">
        <f t="shared" si="202"/>
        <v>FOR</v>
      </c>
      <c r="O1542" t="s">
        <v>69</v>
      </c>
      <c r="P1542" t="s">
        <v>75</v>
      </c>
      <c r="Q1542">
        <v>2016</v>
      </c>
      <c r="R1542" s="4">
        <v>42482</v>
      </c>
      <c r="S1542" s="2">
        <v>42487</v>
      </c>
      <c r="T1542" s="2">
        <v>42486</v>
      </c>
      <c r="U1542" s="4">
        <v>42546</v>
      </c>
      <c r="V1542" t="s">
        <v>71</v>
      </c>
      <c r="W1542" t="str">
        <f>"             10912/A"</f>
        <v xml:space="preserve">             10912/A</v>
      </c>
      <c r="X1542" s="1">
        <v>1921.5</v>
      </c>
      <c r="Y1542">
        <v>0</v>
      </c>
      <c r="Z1542" s="5">
        <v>1575</v>
      </c>
      <c r="AA1542" s="3">
        <v>222</v>
      </c>
      <c r="AB1542" s="5">
        <v>349650</v>
      </c>
      <c r="AC1542" s="1">
        <v>1575</v>
      </c>
      <c r="AD1542">
        <v>222</v>
      </c>
      <c r="AE1542" s="1">
        <v>349650</v>
      </c>
      <c r="AF1542">
        <v>0</v>
      </c>
      <c r="AJ1542">
        <v>0</v>
      </c>
      <c r="AK1542">
        <v>0</v>
      </c>
      <c r="AL1542">
        <v>0</v>
      </c>
      <c r="AM1542">
        <v>0</v>
      </c>
      <c r="AN1542">
        <v>0</v>
      </c>
      <c r="AO1542">
        <v>0</v>
      </c>
      <c r="AP1542" s="2">
        <v>42831</v>
      </c>
      <c r="AQ1542" t="s">
        <v>72</v>
      </c>
      <c r="AR1542" t="s">
        <v>72</v>
      </c>
      <c r="AS1542">
        <v>208</v>
      </c>
      <c r="AT1542" s="4">
        <v>42768</v>
      </c>
      <c r="AU1542" t="s">
        <v>73</v>
      </c>
      <c r="AV1542">
        <v>208</v>
      </c>
      <c r="AW1542" s="4">
        <v>42768</v>
      </c>
      <c r="BD1542">
        <v>0</v>
      </c>
      <c r="BN1542" t="s">
        <v>74</v>
      </c>
    </row>
    <row r="1543" spans="1:66">
      <c r="A1543">
        <v>104009</v>
      </c>
      <c r="B1543" t="s">
        <v>366</v>
      </c>
      <c r="C1543" s="1">
        <v>43300101</v>
      </c>
      <c r="D1543" t="s">
        <v>67</v>
      </c>
      <c r="H1543" t="str">
        <f t="shared" ref="H1543:I1553" si="204">"08641790152"</f>
        <v>08641790152</v>
      </c>
      <c r="I1543" t="str">
        <f t="shared" si="204"/>
        <v>08641790152</v>
      </c>
      <c r="K1543" t="str">
        <f>""</f>
        <v/>
      </c>
      <c r="M1543" t="s">
        <v>68</v>
      </c>
      <c r="N1543" t="str">
        <f t="shared" si="202"/>
        <v>FOR</v>
      </c>
      <c r="O1543" t="s">
        <v>69</v>
      </c>
      <c r="P1543" t="s">
        <v>75</v>
      </c>
      <c r="Q1543">
        <v>2016</v>
      </c>
      <c r="R1543" s="4">
        <v>42492</v>
      </c>
      <c r="S1543" s="2">
        <v>42494</v>
      </c>
      <c r="T1543" s="2">
        <v>42493</v>
      </c>
      <c r="U1543" s="4">
        <v>42553</v>
      </c>
      <c r="V1543" t="s">
        <v>71</v>
      </c>
      <c r="W1543" t="str">
        <f>"             G049526"</f>
        <v xml:space="preserve">             G049526</v>
      </c>
      <c r="X1543" s="1">
        <v>16104</v>
      </c>
      <c r="Y1543">
        <v>0</v>
      </c>
      <c r="Z1543" s="5">
        <v>13200</v>
      </c>
      <c r="AA1543" s="3">
        <v>222</v>
      </c>
      <c r="AB1543" s="5">
        <v>2930400</v>
      </c>
      <c r="AC1543" s="1">
        <v>13200</v>
      </c>
      <c r="AD1543">
        <v>222</v>
      </c>
      <c r="AE1543" s="1">
        <v>2930400</v>
      </c>
      <c r="AF1543">
        <v>0</v>
      </c>
      <c r="AJ1543">
        <v>0</v>
      </c>
      <c r="AK1543">
        <v>0</v>
      </c>
      <c r="AL1543">
        <v>0</v>
      </c>
      <c r="AM1543">
        <v>0</v>
      </c>
      <c r="AN1543">
        <v>0</v>
      </c>
      <c r="AO1543">
        <v>0</v>
      </c>
      <c r="AP1543" s="2">
        <v>42831</v>
      </c>
      <c r="AQ1543" t="s">
        <v>72</v>
      </c>
      <c r="AR1543" t="s">
        <v>72</v>
      </c>
      <c r="AS1543">
        <v>372</v>
      </c>
      <c r="AT1543" s="4">
        <v>42775</v>
      </c>
      <c r="AU1543" t="s">
        <v>73</v>
      </c>
      <c r="AV1543">
        <v>372</v>
      </c>
      <c r="AW1543" s="4">
        <v>42775</v>
      </c>
      <c r="BD1543">
        <v>0</v>
      </c>
      <c r="BN1543" t="s">
        <v>74</v>
      </c>
    </row>
    <row r="1544" spans="1:66">
      <c r="A1544">
        <v>104009</v>
      </c>
      <c r="B1544" t="s">
        <v>366</v>
      </c>
      <c r="C1544" s="1">
        <v>43300101</v>
      </c>
      <c r="D1544" t="s">
        <v>67</v>
      </c>
      <c r="H1544" t="str">
        <f t="shared" si="204"/>
        <v>08641790152</v>
      </c>
      <c r="I1544" t="str">
        <f t="shared" si="204"/>
        <v>08641790152</v>
      </c>
      <c r="K1544" t="str">
        <f>""</f>
        <v/>
      </c>
      <c r="M1544" t="s">
        <v>68</v>
      </c>
      <c r="N1544" t="str">
        <f t="shared" si="202"/>
        <v>FOR</v>
      </c>
      <c r="O1544" t="s">
        <v>69</v>
      </c>
      <c r="P1544" t="s">
        <v>75</v>
      </c>
      <c r="Q1544">
        <v>2016</v>
      </c>
      <c r="R1544" s="4">
        <v>42495</v>
      </c>
      <c r="S1544" s="2">
        <v>42501</v>
      </c>
      <c r="T1544" s="2">
        <v>42496</v>
      </c>
      <c r="U1544" s="4">
        <v>42556</v>
      </c>
      <c r="V1544" t="s">
        <v>71</v>
      </c>
      <c r="W1544" t="str">
        <f>"             G051120"</f>
        <v xml:space="preserve">             G051120</v>
      </c>
      <c r="X1544" s="1">
        <v>2440</v>
      </c>
      <c r="Y1544">
        <v>0</v>
      </c>
      <c r="Z1544" s="5">
        <v>2000</v>
      </c>
      <c r="AA1544" s="3">
        <v>219</v>
      </c>
      <c r="AB1544" s="5">
        <v>438000</v>
      </c>
      <c r="AC1544" s="1">
        <v>2000</v>
      </c>
      <c r="AD1544">
        <v>219</v>
      </c>
      <c r="AE1544" s="1">
        <v>438000</v>
      </c>
      <c r="AF1544">
        <v>0</v>
      </c>
      <c r="AJ1544">
        <v>0</v>
      </c>
      <c r="AK1544">
        <v>0</v>
      </c>
      <c r="AL1544">
        <v>0</v>
      </c>
      <c r="AM1544">
        <v>0</v>
      </c>
      <c r="AN1544">
        <v>0</v>
      </c>
      <c r="AO1544">
        <v>0</v>
      </c>
      <c r="AP1544" s="2">
        <v>42831</v>
      </c>
      <c r="AQ1544" t="s">
        <v>72</v>
      </c>
      <c r="AR1544" t="s">
        <v>72</v>
      </c>
      <c r="AS1544">
        <v>372</v>
      </c>
      <c r="AT1544" s="4">
        <v>42775</v>
      </c>
      <c r="AU1544" t="s">
        <v>73</v>
      </c>
      <c r="AV1544">
        <v>372</v>
      </c>
      <c r="AW1544" s="4">
        <v>42775</v>
      </c>
      <c r="BD1544">
        <v>0</v>
      </c>
      <c r="BN1544" t="s">
        <v>74</v>
      </c>
    </row>
    <row r="1545" spans="1:66">
      <c r="A1545">
        <v>104009</v>
      </c>
      <c r="B1545" t="s">
        <v>366</v>
      </c>
      <c r="C1545" s="1">
        <v>43300101</v>
      </c>
      <c r="D1545" t="s">
        <v>67</v>
      </c>
      <c r="H1545" t="str">
        <f t="shared" si="204"/>
        <v>08641790152</v>
      </c>
      <c r="I1545" t="str">
        <f t="shared" si="204"/>
        <v>08641790152</v>
      </c>
      <c r="K1545" t="str">
        <f>""</f>
        <v/>
      </c>
      <c r="M1545" t="s">
        <v>68</v>
      </c>
      <c r="N1545" t="str">
        <f t="shared" si="202"/>
        <v>FOR</v>
      </c>
      <c r="O1545" t="s">
        <v>69</v>
      </c>
      <c r="P1545" t="s">
        <v>75</v>
      </c>
      <c r="Q1545">
        <v>2016</v>
      </c>
      <c r="R1545" s="4">
        <v>42499</v>
      </c>
      <c r="S1545" s="2">
        <v>42506</v>
      </c>
      <c r="T1545" s="2">
        <v>42503</v>
      </c>
      <c r="U1545" s="4">
        <v>42563</v>
      </c>
      <c r="V1545" t="s">
        <v>71</v>
      </c>
      <c r="W1545" t="str">
        <f>"             G052491"</f>
        <v xml:space="preserve">             G052491</v>
      </c>
      <c r="X1545">
        <v>878.4</v>
      </c>
      <c r="Y1545">
        <v>0</v>
      </c>
      <c r="Z1545" s="5">
        <v>720</v>
      </c>
      <c r="AA1545" s="3">
        <v>212</v>
      </c>
      <c r="AB1545" s="5">
        <v>152640</v>
      </c>
      <c r="AC1545">
        <v>720</v>
      </c>
      <c r="AD1545">
        <v>212</v>
      </c>
      <c r="AE1545" s="1">
        <v>152640</v>
      </c>
      <c r="AF1545">
        <v>0</v>
      </c>
      <c r="AJ1545">
        <v>0</v>
      </c>
      <c r="AK1545">
        <v>0</v>
      </c>
      <c r="AL1545">
        <v>0</v>
      </c>
      <c r="AM1545">
        <v>0</v>
      </c>
      <c r="AN1545">
        <v>0</v>
      </c>
      <c r="AO1545">
        <v>0</v>
      </c>
      <c r="AP1545" s="2">
        <v>42831</v>
      </c>
      <c r="AQ1545" t="s">
        <v>72</v>
      </c>
      <c r="AR1545" t="s">
        <v>72</v>
      </c>
      <c r="AS1545">
        <v>372</v>
      </c>
      <c r="AT1545" s="4">
        <v>42775</v>
      </c>
      <c r="AU1545" t="s">
        <v>73</v>
      </c>
      <c r="AV1545">
        <v>372</v>
      </c>
      <c r="AW1545" s="4">
        <v>42775</v>
      </c>
      <c r="BD1545">
        <v>0</v>
      </c>
      <c r="BN1545" t="s">
        <v>74</v>
      </c>
    </row>
    <row r="1546" spans="1:66">
      <c r="A1546">
        <v>104009</v>
      </c>
      <c r="B1546" t="s">
        <v>366</v>
      </c>
      <c r="C1546" s="1">
        <v>43300101</v>
      </c>
      <c r="D1546" t="s">
        <v>67</v>
      </c>
      <c r="H1546" t="str">
        <f t="shared" si="204"/>
        <v>08641790152</v>
      </c>
      <c r="I1546" t="str">
        <f t="shared" si="204"/>
        <v>08641790152</v>
      </c>
      <c r="K1546" t="str">
        <f>""</f>
        <v/>
      </c>
      <c r="M1546" t="s">
        <v>68</v>
      </c>
      <c r="N1546" t="str">
        <f t="shared" ref="N1546:N1556" si="205">"FOR"</f>
        <v>FOR</v>
      </c>
      <c r="O1546" t="s">
        <v>69</v>
      </c>
      <c r="P1546" t="s">
        <v>75</v>
      </c>
      <c r="Q1546">
        <v>2016</v>
      </c>
      <c r="R1546" s="4">
        <v>42499</v>
      </c>
      <c r="S1546" s="2">
        <v>42506</v>
      </c>
      <c r="T1546" s="2">
        <v>42503</v>
      </c>
      <c r="U1546" s="4">
        <v>42563</v>
      </c>
      <c r="V1546" t="s">
        <v>71</v>
      </c>
      <c r="W1546" t="str">
        <f>"             G052557"</f>
        <v xml:space="preserve">             G052557</v>
      </c>
      <c r="X1546" s="1">
        <v>1865.38</v>
      </c>
      <c r="Y1546">
        <v>0</v>
      </c>
      <c r="Z1546" s="5">
        <v>1529</v>
      </c>
      <c r="AA1546" s="3">
        <v>212</v>
      </c>
      <c r="AB1546" s="5">
        <v>324148</v>
      </c>
      <c r="AC1546" s="1">
        <v>1529</v>
      </c>
      <c r="AD1546">
        <v>212</v>
      </c>
      <c r="AE1546" s="1">
        <v>324148</v>
      </c>
      <c r="AF1546">
        <v>0</v>
      </c>
      <c r="AJ1546">
        <v>0</v>
      </c>
      <c r="AK1546">
        <v>0</v>
      </c>
      <c r="AL1546">
        <v>0</v>
      </c>
      <c r="AM1546">
        <v>0</v>
      </c>
      <c r="AN1546">
        <v>0</v>
      </c>
      <c r="AO1546">
        <v>0</v>
      </c>
      <c r="AP1546" s="2">
        <v>42831</v>
      </c>
      <c r="AQ1546" t="s">
        <v>72</v>
      </c>
      <c r="AR1546" t="s">
        <v>72</v>
      </c>
      <c r="AS1546">
        <v>372</v>
      </c>
      <c r="AT1546" s="4">
        <v>42775</v>
      </c>
      <c r="AU1546" t="s">
        <v>73</v>
      </c>
      <c r="AV1546">
        <v>372</v>
      </c>
      <c r="AW1546" s="4">
        <v>42775</v>
      </c>
      <c r="BD1546">
        <v>0</v>
      </c>
      <c r="BN1546" t="s">
        <v>74</v>
      </c>
    </row>
    <row r="1547" spans="1:66">
      <c r="A1547">
        <v>104009</v>
      </c>
      <c r="B1547" t="s">
        <v>366</v>
      </c>
      <c r="C1547" s="1">
        <v>43300101</v>
      </c>
      <c r="D1547" t="s">
        <v>67</v>
      </c>
      <c r="H1547" t="str">
        <f t="shared" si="204"/>
        <v>08641790152</v>
      </c>
      <c r="I1547" t="str">
        <f t="shared" si="204"/>
        <v>08641790152</v>
      </c>
      <c r="K1547" t="str">
        <f>""</f>
        <v/>
      </c>
      <c r="M1547" t="s">
        <v>68</v>
      </c>
      <c r="N1547" t="str">
        <f t="shared" si="205"/>
        <v>FOR</v>
      </c>
      <c r="O1547" t="s">
        <v>69</v>
      </c>
      <c r="P1547" t="s">
        <v>75</v>
      </c>
      <c r="Q1547">
        <v>2016</v>
      </c>
      <c r="R1547" s="4">
        <v>42499</v>
      </c>
      <c r="S1547" s="2">
        <v>42506</v>
      </c>
      <c r="T1547" s="2">
        <v>42503</v>
      </c>
      <c r="U1547" s="4">
        <v>42563</v>
      </c>
      <c r="V1547" t="s">
        <v>71</v>
      </c>
      <c r="W1547" t="str">
        <f>"             G052607"</f>
        <v xml:space="preserve">             G052607</v>
      </c>
      <c r="X1547">
        <v>519.72</v>
      </c>
      <c r="Y1547">
        <v>0</v>
      </c>
      <c r="Z1547" s="5">
        <v>426</v>
      </c>
      <c r="AA1547" s="3">
        <v>212</v>
      </c>
      <c r="AB1547" s="5">
        <v>90312</v>
      </c>
      <c r="AC1547">
        <v>426</v>
      </c>
      <c r="AD1547">
        <v>212</v>
      </c>
      <c r="AE1547" s="1">
        <v>90312</v>
      </c>
      <c r="AF1547">
        <v>0</v>
      </c>
      <c r="AJ1547">
        <v>0</v>
      </c>
      <c r="AK1547">
        <v>0</v>
      </c>
      <c r="AL1547">
        <v>0</v>
      </c>
      <c r="AM1547">
        <v>0</v>
      </c>
      <c r="AN1547">
        <v>0</v>
      </c>
      <c r="AO1547">
        <v>0</v>
      </c>
      <c r="AP1547" s="2">
        <v>42831</v>
      </c>
      <c r="AQ1547" t="s">
        <v>72</v>
      </c>
      <c r="AR1547" t="s">
        <v>72</v>
      </c>
      <c r="AS1547">
        <v>372</v>
      </c>
      <c r="AT1547" s="4">
        <v>42775</v>
      </c>
      <c r="AU1547" t="s">
        <v>73</v>
      </c>
      <c r="AV1547">
        <v>372</v>
      </c>
      <c r="AW1547" s="4">
        <v>42775</v>
      </c>
      <c r="BD1547">
        <v>0</v>
      </c>
      <c r="BN1547" t="s">
        <v>74</v>
      </c>
    </row>
    <row r="1548" spans="1:66">
      <c r="A1548">
        <v>104009</v>
      </c>
      <c r="B1548" t="s">
        <v>366</v>
      </c>
      <c r="C1548" s="1">
        <v>43300101</v>
      </c>
      <c r="D1548" t="s">
        <v>67</v>
      </c>
      <c r="H1548" t="str">
        <f t="shared" si="204"/>
        <v>08641790152</v>
      </c>
      <c r="I1548" t="str">
        <f t="shared" si="204"/>
        <v>08641790152</v>
      </c>
      <c r="K1548" t="str">
        <f>""</f>
        <v/>
      </c>
      <c r="M1548" t="s">
        <v>68</v>
      </c>
      <c r="N1548" t="str">
        <f t="shared" si="205"/>
        <v>FOR</v>
      </c>
      <c r="O1548" t="s">
        <v>69</v>
      </c>
      <c r="P1548" t="s">
        <v>75</v>
      </c>
      <c r="Q1548">
        <v>2016</v>
      </c>
      <c r="R1548" s="4">
        <v>42502</v>
      </c>
      <c r="S1548" s="2">
        <v>42506</v>
      </c>
      <c r="T1548" s="2">
        <v>42503</v>
      </c>
      <c r="U1548" s="4">
        <v>42563</v>
      </c>
      <c r="V1548" t="s">
        <v>71</v>
      </c>
      <c r="W1548" t="str">
        <f>"             G054107"</f>
        <v xml:space="preserve">             G054107</v>
      </c>
      <c r="X1548" s="1">
        <v>1037</v>
      </c>
      <c r="Y1548">
        <v>0</v>
      </c>
      <c r="Z1548" s="5">
        <v>850</v>
      </c>
      <c r="AA1548" s="3">
        <v>212</v>
      </c>
      <c r="AB1548" s="5">
        <v>180200</v>
      </c>
      <c r="AC1548">
        <v>850</v>
      </c>
      <c r="AD1548">
        <v>212</v>
      </c>
      <c r="AE1548" s="1">
        <v>180200</v>
      </c>
      <c r="AF1548">
        <v>0</v>
      </c>
      <c r="AJ1548">
        <v>0</v>
      </c>
      <c r="AK1548">
        <v>0</v>
      </c>
      <c r="AL1548">
        <v>0</v>
      </c>
      <c r="AM1548">
        <v>0</v>
      </c>
      <c r="AN1548">
        <v>0</v>
      </c>
      <c r="AO1548">
        <v>0</v>
      </c>
      <c r="AP1548" s="2">
        <v>42831</v>
      </c>
      <c r="AQ1548" t="s">
        <v>72</v>
      </c>
      <c r="AR1548" t="s">
        <v>72</v>
      </c>
      <c r="AS1548">
        <v>372</v>
      </c>
      <c r="AT1548" s="4">
        <v>42775</v>
      </c>
      <c r="AU1548" t="s">
        <v>73</v>
      </c>
      <c r="AV1548">
        <v>372</v>
      </c>
      <c r="AW1548" s="4">
        <v>42775</v>
      </c>
      <c r="BD1548">
        <v>0</v>
      </c>
      <c r="BN1548" t="s">
        <v>74</v>
      </c>
    </row>
    <row r="1549" spans="1:66">
      <c r="A1549">
        <v>104009</v>
      </c>
      <c r="B1549" t="s">
        <v>366</v>
      </c>
      <c r="C1549" s="1">
        <v>43300101</v>
      </c>
      <c r="D1549" t="s">
        <v>67</v>
      </c>
      <c r="H1549" t="str">
        <f t="shared" si="204"/>
        <v>08641790152</v>
      </c>
      <c r="I1549" t="str">
        <f t="shared" si="204"/>
        <v>08641790152</v>
      </c>
      <c r="K1549" t="str">
        <f>""</f>
        <v/>
      </c>
      <c r="M1549" t="s">
        <v>68</v>
      </c>
      <c r="N1549" t="str">
        <f t="shared" si="205"/>
        <v>FOR</v>
      </c>
      <c r="O1549" t="s">
        <v>69</v>
      </c>
      <c r="P1549" t="s">
        <v>75</v>
      </c>
      <c r="Q1549">
        <v>2016</v>
      </c>
      <c r="R1549" s="4">
        <v>42502</v>
      </c>
      <c r="S1549" s="2">
        <v>42506</v>
      </c>
      <c r="T1549" s="2">
        <v>42503</v>
      </c>
      <c r="U1549" s="4">
        <v>42563</v>
      </c>
      <c r="V1549" t="s">
        <v>71</v>
      </c>
      <c r="W1549" t="str">
        <f>"             G054180"</f>
        <v xml:space="preserve">             G054180</v>
      </c>
      <c r="X1549">
        <v>100.65</v>
      </c>
      <c r="Y1549">
        <v>0</v>
      </c>
      <c r="Z1549" s="5">
        <v>82.5</v>
      </c>
      <c r="AA1549" s="3">
        <v>212</v>
      </c>
      <c r="AB1549" s="5">
        <v>17490</v>
      </c>
      <c r="AC1549">
        <v>82.5</v>
      </c>
      <c r="AD1549">
        <v>212</v>
      </c>
      <c r="AE1549" s="1">
        <v>17490</v>
      </c>
      <c r="AF1549">
        <v>0</v>
      </c>
      <c r="AJ1549">
        <v>0</v>
      </c>
      <c r="AK1549">
        <v>0</v>
      </c>
      <c r="AL1549">
        <v>0</v>
      </c>
      <c r="AM1549">
        <v>0</v>
      </c>
      <c r="AN1549">
        <v>0</v>
      </c>
      <c r="AO1549">
        <v>0</v>
      </c>
      <c r="AP1549" s="2">
        <v>42831</v>
      </c>
      <c r="AQ1549" t="s">
        <v>72</v>
      </c>
      <c r="AR1549" t="s">
        <v>72</v>
      </c>
      <c r="AS1549">
        <v>372</v>
      </c>
      <c r="AT1549" s="4">
        <v>42775</v>
      </c>
      <c r="AU1549" t="s">
        <v>73</v>
      </c>
      <c r="AV1549">
        <v>372</v>
      </c>
      <c r="AW1549" s="4">
        <v>42775</v>
      </c>
      <c r="BD1549">
        <v>0</v>
      </c>
      <c r="BN1549" t="s">
        <v>74</v>
      </c>
    </row>
    <row r="1550" spans="1:66">
      <c r="A1550">
        <v>104009</v>
      </c>
      <c r="B1550" t="s">
        <v>366</v>
      </c>
      <c r="C1550" s="1">
        <v>43300101</v>
      </c>
      <c r="D1550" t="s">
        <v>67</v>
      </c>
      <c r="H1550" t="str">
        <f t="shared" si="204"/>
        <v>08641790152</v>
      </c>
      <c r="I1550" t="str">
        <f t="shared" si="204"/>
        <v>08641790152</v>
      </c>
      <c r="K1550" t="str">
        <f>""</f>
        <v/>
      </c>
      <c r="M1550" t="s">
        <v>68</v>
      </c>
      <c r="N1550" t="str">
        <f t="shared" si="205"/>
        <v>FOR</v>
      </c>
      <c r="O1550" t="s">
        <v>69</v>
      </c>
      <c r="P1550" t="s">
        <v>75</v>
      </c>
      <c r="Q1550">
        <v>2016</v>
      </c>
      <c r="R1550" s="4">
        <v>42502</v>
      </c>
      <c r="S1550" s="2">
        <v>42506</v>
      </c>
      <c r="T1550" s="2">
        <v>42503</v>
      </c>
      <c r="U1550" s="4">
        <v>42563</v>
      </c>
      <c r="V1550" t="s">
        <v>71</v>
      </c>
      <c r="W1550" t="str">
        <f>"             G054191"</f>
        <v xml:space="preserve">             G054191</v>
      </c>
      <c r="X1550" s="1">
        <v>1903.2</v>
      </c>
      <c r="Y1550">
        <v>0</v>
      </c>
      <c r="Z1550" s="5">
        <v>1560</v>
      </c>
      <c r="AA1550" s="3">
        <v>212</v>
      </c>
      <c r="AB1550" s="5">
        <v>330720</v>
      </c>
      <c r="AC1550" s="1">
        <v>1560</v>
      </c>
      <c r="AD1550">
        <v>212</v>
      </c>
      <c r="AE1550" s="1">
        <v>330720</v>
      </c>
      <c r="AF1550">
        <v>0</v>
      </c>
      <c r="AJ1550">
        <v>0</v>
      </c>
      <c r="AK1550">
        <v>0</v>
      </c>
      <c r="AL1550">
        <v>0</v>
      </c>
      <c r="AM1550">
        <v>0</v>
      </c>
      <c r="AN1550">
        <v>0</v>
      </c>
      <c r="AO1550">
        <v>0</v>
      </c>
      <c r="AP1550" s="2">
        <v>42831</v>
      </c>
      <c r="AQ1550" t="s">
        <v>72</v>
      </c>
      <c r="AR1550" t="s">
        <v>72</v>
      </c>
      <c r="AS1550">
        <v>372</v>
      </c>
      <c r="AT1550" s="4">
        <v>42775</v>
      </c>
      <c r="AU1550" t="s">
        <v>73</v>
      </c>
      <c r="AV1550">
        <v>372</v>
      </c>
      <c r="AW1550" s="4">
        <v>42775</v>
      </c>
      <c r="BD1550">
        <v>0</v>
      </c>
      <c r="BN1550" t="s">
        <v>74</v>
      </c>
    </row>
    <row r="1551" spans="1:66">
      <c r="A1551">
        <v>104009</v>
      </c>
      <c r="B1551" t="s">
        <v>366</v>
      </c>
      <c r="C1551" s="1">
        <v>43300101</v>
      </c>
      <c r="D1551" t="s">
        <v>67</v>
      </c>
      <c r="H1551" t="str">
        <f t="shared" si="204"/>
        <v>08641790152</v>
      </c>
      <c r="I1551" t="str">
        <f t="shared" si="204"/>
        <v>08641790152</v>
      </c>
      <c r="K1551" t="str">
        <f>""</f>
        <v/>
      </c>
      <c r="M1551" t="s">
        <v>68</v>
      </c>
      <c r="N1551" t="str">
        <f t="shared" si="205"/>
        <v>FOR</v>
      </c>
      <c r="O1551" t="s">
        <v>69</v>
      </c>
      <c r="P1551" t="s">
        <v>75</v>
      </c>
      <c r="Q1551">
        <v>2016</v>
      </c>
      <c r="R1551" s="4">
        <v>42503</v>
      </c>
      <c r="S1551" s="2">
        <v>42506</v>
      </c>
      <c r="T1551" s="2">
        <v>42504</v>
      </c>
      <c r="U1551" s="4">
        <v>42564</v>
      </c>
      <c r="V1551" t="s">
        <v>71</v>
      </c>
      <c r="W1551" t="str">
        <f>"             G054959"</f>
        <v xml:space="preserve">             G054959</v>
      </c>
      <c r="X1551" s="1">
        <v>5673</v>
      </c>
      <c r="Y1551">
        <v>0</v>
      </c>
      <c r="Z1551" s="5">
        <v>4650</v>
      </c>
      <c r="AA1551" s="3">
        <v>211</v>
      </c>
      <c r="AB1551" s="5">
        <v>981150</v>
      </c>
      <c r="AC1551" s="1">
        <v>4650</v>
      </c>
      <c r="AD1551">
        <v>211</v>
      </c>
      <c r="AE1551" s="1">
        <v>981150</v>
      </c>
      <c r="AF1551">
        <v>0</v>
      </c>
      <c r="AJ1551">
        <v>0</v>
      </c>
      <c r="AK1551">
        <v>0</v>
      </c>
      <c r="AL1551">
        <v>0</v>
      </c>
      <c r="AM1551">
        <v>0</v>
      </c>
      <c r="AN1551">
        <v>0</v>
      </c>
      <c r="AO1551">
        <v>0</v>
      </c>
      <c r="AP1551" s="2">
        <v>42831</v>
      </c>
      <c r="AQ1551" t="s">
        <v>72</v>
      </c>
      <c r="AR1551" t="s">
        <v>72</v>
      </c>
      <c r="AS1551">
        <v>372</v>
      </c>
      <c r="AT1551" s="4">
        <v>42775</v>
      </c>
      <c r="AU1551" t="s">
        <v>73</v>
      </c>
      <c r="AV1551">
        <v>372</v>
      </c>
      <c r="AW1551" s="4">
        <v>42775</v>
      </c>
      <c r="BD1551">
        <v>0</v>
      </c>
      <c r="BN1551" t="s">
        <v>74</v>
      </c>
    </row>
    <row r="1552" spans="1:66">
      <c r="A1552">
        <v>104009</v>
      </c>
      <c r="B1552" t="s">
        <v>366</v>
      </c>
      <c r="C1552" s="1">
        <v>43300101</v>
      </c>
      <c r="D1552" t="s">
        <v>67</v>
      </c>
      <c r="H1552" t="str">
        <f t="shared" si="204"/>
        <v>08641790152</v>
      </c>
      <c r="I1552" t="str">
        <f t="shared" si="204"/>
        <v>08641790152</v>
      </c>
      <c r="K1552" t="str">
        <f>""</f>
        <v/>
      </c>
      <c r="M1552" t="s">
        <v>68</v>
      </c>
      <c r="N1552" t="str">
        <f t="shared" si="205"/>
        <v>FOR</v>
      </c>
      <c r="O1552" t="s">
        <v>69</v>
      </c>
      <c r="P1552" t="s">
        <v>75</v>
      </c>
      <c r="Q1552">
        <v>2016</v>
      </c>
      <c r="R1552" s="4">
        <v>42510</v>
      </c>
      <c r="S1552" s="2">
        <v>42515</v>
      </c>
      <c r="T1552" s="2">
        <v>42511</v>
      </c>
      <c r="U1552" s="4">
        <v>42571</v>
      </c>
      <c r="V1552" t="s">
        <v>71</v>
      </c>
      <c r="W1552" t="str">
        <f>"             G058048"</f>
        <v xml:space="preserve">             G058048</v>
      </c>
      <c r="X1552" s="1">
        <v>1393.72</v>
      </c>
      <c r="Y1552">
        <v>0</v>
      </c>
      <c r="Z1552" s="5">
        <v>1142.4000000000001</v>
      </c>
      <c r="AA1552" s="3">
        <v>204</v>
      </c>
      <c r="AB1552" s="5">
        <v>233049.60000000001</v>
      </c>
      <c r="AC1552" s="1">
        <v>1142.4000000000001</v>
      </c>
      <c r="AD1552">
        <v>204</v>
      </c>
      <c r="AE1552" s="1">
        <v>233049.60000000001</v>
      </c>
      <c r="AF1552">
        <v>0</v>
      </c>
      <c r="AJ1552">
        <v>0</v>
      </c>
      <c r="AK1552">
        <v>0</v>
      </c>
      <c r="AL1552">
        <v>0</v>
      </c>
      <c r="AM1552">
        <v>0</v>
      </c>
      <c r="AN1552">
        <v>0</v>
      </c>
      <c r="AO1552">
        <v>0</v>
      </c>
      <c r="AP1552" s="2">
        <v>42831</v>
      </c>
      <c r="AQ1552" t="s">
        <v>72</v>
      </c>
      <c r="AR1552" t="s">
        <v>72</v>
      </c>
      <c r="AS1552">
        <v>372</v>
      </c>
      <c r="AT1552" s="4">
        <v>42775</v>
      </c>
      <c r="AU1552" t="s">
        <v>73</v>
      </c>
      <c r="AV1552">
        <v>372</v>
      </c>
      <c r="AW1552" s="4">
        <v>42775</v>
      </c>
      <c r="BD1552">
        <v>0</v>
      </c>
      <c r="BN1552" t="s">
        <v>74</v>
      </c>
    </row>
    <row r="1553" spans="1:66">
      <c r="A1553">
        <v>104009</v>
      </c>
      <c r="B1553" t="s">
        <v>366</v>
      </c>
      <c r="C1553" s="1">
        <v>43300101</v>
      </c>
      <c r="D1553" t="s">
        <v>67</v>
      </c>
      <c r="H1553" t="str">
        <f t="shared" si="204"/>
        <v>08641790152</v>
      </c>
      <c r="I1553" t="str">
        <f t="shared" si="204"/>
        <v>08641790152</v>
      </c>
      <c r="K1553" t="str">
        <f>""</f>
        <v/>
      </c>
      <c r="M1553" t="s">
        <v>68</v>
      </c>
      <c r="N1553" t="str">
        <f t="shared" si="205"/>
        <v>FOR</v>
      </c>
      <c r="O1553" t="s">
        <v>69</v>
      </c>
      <c r="P1553" t="s">
        <v>75</v>
      </c>
      <c r="Q1553">
        <v>2016</v>
      </c>
      <c r="R1553" s="4">
        <v>42513</v>
      </c>
      <c r="S1553" s="2">
        <v>42516</v>
      </c>
      <c r="T1553" s="2">
        <v>42514</v>
      </c>
      <c r="U1553" s="4">
        <v>42574</v>
      </c>
      <c r="V1553" t="s">
        <v>71</v>
      </c>
      <c r="W1553" t="str">
        <f>"             G058333"</f>
        <v xml:space="preserve">             G058333</v>
      </c>
      <c r="X1553" s="1">
        <v>2440</v>
      </c>
      <c r="Y1553">
        <v>0</v>
      </c>
      <c r="Z1553" s="5">
        <v>2000</v>
      </c>
      <c r="AA1553" s="3">
        <v>201</v>
      </c>
      <c r="AB1553" s="5">
        <v>402000</v>
      </c>
      <c r="AC1553" s="1">
        <v>2000</v>
      </c>
      <c r="AD1553">
        <v>201</v>
      </c>
      <c r="AE1553" s="1">
        <v>402000</v>
      </c>
      <c r="AF1553">
        <v>0</v>
      </c>
      <c r="AJ1553">
        <v>0</v>
      </c>
      <c r="AK1553">
        <v>0</v>
      </c>
      <c r="AL1553">
        <v>0</v>
      </c>
      <c r="AM1553">
        <v>0</v>
      </c>
      <c r="AN1553">
        <v>0</v>
      </c>
      <c r="AO1553">
        <v>0</v>
      </c>
      <c r="AP1553" s="2">
        <v>42831</v>
      </c>
      <c r="AQ1553" t="s">
        <v>72</v>
      </c>
      <c r="AR1553" t="s">
        <v>72</v>
      </c>
      <c r="AS1553">
        <v>372</v>
      </c>
      <c r="AT1553" s="4">
        <v>42775</v>
      </c>
      <c r="AU1553" t="s">
        <v>73</v>
      </c>
      <c r="AV1553">
        <v>372</v>
      </c>
      <c r="AW1553" s="4">
        <v>42775</v>
      </c>
      <c r="BD1553">
        <v>0</v>
      </c>
      <c r="BN1553" t="s">
        <v>74</v>
      </c>
    </row>
    <row r="1554" spans="1:66">
      <c r="A1554">
        <v>104024</v>
      </c>
      <c r="B1554" t="s">
        <v>367</v>
      </c>
      <c r="C1554" s="1">
        <v>43300101</v>
      </c>
      <c r="D1554" t="s">
        <v>67</v>
      </c>
      <c r="H1554" t="str">
        <f t="shared" ref="H1554:I1556" si="206">"07020730631"</f>
        <v>07020730631</v>
      </c>
      <c r="I1554" t="str">
        <f t="shared" si="206"/>
        <v>07020730631</v>
      </c>
      <c r="K1554" t="str">
        <f>""</f>
        <v/>
      </c>
      <c r="M1554" t="s">
        <v>68</v>
      </c>
      <c r="N1554" t="str">
        <f t="shared" si="205"/>
        <v>FOR</v>
      </c>
      <c r="O1554" t="s">
        <v>69</v>
      </c>
      <c r="P1554" t="s">
        <v>75</v>
      </c>
      <c r="Q1554">
        <v>2016</v>
      </c>
      <c r="R1554" s="4">
        <v>42486</v>
      </c>
      <c r="S1554" s="2">
        <v>42487</v>
      </c>
      <c r="T1554" s="2">
        <v>42486</v>
      </c>
      <c r="U1554" s="4">
        <v>42546</v>
      </c>
      <c r="V1554" t="s">
        <v>71</v>
      </c>
      <c r="W1554" t="str">
        <f>"               141PA"</f>
        <v xml:space="preserve">               141PA</v>
      </c>
      <c r="X1554" s="1">
        <v>4636</v>
      </c>
      <c r="Y1554">
        <v>0</v>
      </c>
      <c r="Z1554" s="5">
        <v>3800</v>
      </c>
      <c r="AA1554" s="3">
        <v>236</v>
      </c>
      <c r="AB1554" s="5">
        <v>896800</v>
      </c>
      <c r="AC1554" s="1">
        <v>3800</v>
      </c>
      <c r="AD1554">
        <v>236</v>
      </c>
      <c r="AE1554" s="1">
        <v>896800</v>
      </c>
      <c r="AF1554">
        <v>0</v>
      </c>
      <c r="AJ1554">
        <v>0</v>
      </c>
      <c r="AK1554">
        <v>0</v>
      </c>
      <c r="AL1554">
        <v>0</v>
      </c>
      <c r="AM1554">
        <v>0</v>
      </c>
      <c r="AN1554">
        <v>0</v>
      </c>
      <c r="AO1554">
        <v>0</v>
      </c>
      <c r="AP1554" s="2">
        <v>42831</v>
      </c>
      <c r="AQ1554" t="s">
        <v>72</v>
      </c>
      <c r="AR1554" t="s">
        <v>72</v>
      </c>
      <c r="AS1554">
        <v>476</v>
      </c>
      <c r="AT1554" s="4">
        <v>42782</v>
      </c>
      <c r="AU1554" t="s">
        <v>73</v>
      </c>
      <c r="AV1554">
        <v>476</v>
      </c>
      <c r="AW1554" s="4">
        <v>42782</v>
      </c>
      <c r="BD1554">
        <v>0</v>
      </c>
      <c r="BN1554" t="s">
        <v>74</v>
      </c>
    </row>
    <row r="1555" spans="1:66">
      <c r="A1555">
        <v>104024</v>
      </c>
      <c r="B1555" t="s">
        <v>367</v>
      </c>
      <c r="C1555" s="1">
        <v>43300101</v>
      </c>
      <c r="D1555" t="s">
        <v>67</v>
      </c>
      <c r="H1555" t="str">
        <f t="shared" si="206"/>
        <v>07020730631</v>
      </c>
      <c r="I1555" t="str">
        <f t="shared" si="206"/>
        <v>07020730631</v>
      </c>
      <c r="K1555" t="str">
        <f>""</f>
        <v/>
      </c>
      <c r="M1555" t="s">
        <v>68</v>
      </c>
      <c r="N1555" t="str">
        <f t="shared" si="205"/>
        <v>FOR</v>
      </c>
      <c r="O1555" t="s">
        <v>69</v>
      </c>
      <c r="P1555" t="s">
        <v>75</v>
      </c>
      <c r="Q1555">
        <v>2016</v>
      </c>
      <c r="R1555" s="4">
        <v>42486</v>
      </c>
      <c r="S1555" s="2">
        <v>42496</v>
      </c>
      <c r="T1555" s="2">
        <v>42493</v>
      </c>
      <c r="U1555" s="4">
        <v>42553</v>
      </c>
      <c r="V1555" t="s">
        <v>71</v>
      </c>
      <c r="W1555" t="str">
        <f>"               143PA"</f>
        <v xml:space="preserve">               143PA</v>
      </c>
      <c r="X1555" s="1">
        <v>12078</v>
      </c>
      <c r="Y1555">
        <v>0</v>
      </c>
      <c r="Z1555" s="5">
        <v>9900</v>
      </c>
      <c r="AA1555" s="3">
        <v>229</v>
      </c>
      <c r="AB1555" s="5">
        <v>2267100</v>
      </c>
      <c r="AC1555" s="1">
        <v>9900</v>
      </c>
      <c r="AD1555">
        <v>229</v>
      </c>
      <c r="AE1555" s="1">
        <v>2267100</v>
      </c>
      <c r="AF1555">
        <v>0</v>
      </c>
      <c r="AJ1555">
        <v>0</v>
      </c>
      <c r="AK1555">
        <v>0</v>
      </c>
      <c r="AL1555">
        <v>0</v>
      </c>
      <c r="AM1555">
        <v>0</v>
      </c>
      <c r="AN1555">
        <v>0</v>
      </c>
      <c r="AO1555">
        <v>0</v>
      </c>
      <c r="AP1555" s="2">
        <v>42831</v>
      </c>
      <c r="AQ1555" t="s">
        <v>72</v>
      </c>
      <c r="AR1555" t="s">
        <v>72</v>
      </c>
      <c r="AS1555">
        <v>476</v>
      </c>
      <c r="AT1555" s="4">
        <v>42782</v>
      </c>
      <c r="AU1555" t="s">
        <v>73</v>
      </c>
      <c r="AV1555">
        <v>476</v>
      </c>
      <c r="AW1555" s="4">
        <v>42782</v>
      </c>
      <c r="BD1555">
        <v>0</v>
      </c>
      <c r="BN1555" t="s">
        <v>74</v>
      </c>
    </row>
    <row r="1556" spans="1:66">
      <c r="A1556">
        <v>104024</v>
      </c>
      <c r="B1556" t="s">
        <v>367</v>
      </c>
      <c r="C1556" s="1">
        <v>43300101</v>
      </c>
      <c r="D1556" t="s">
        <v>67</v>
      </c>
      <c r="H1556" t="str">
        <f t="shared" si="206"/>
        <v>07020730631</v>
      </c>
      <c r="I1556" t="str">
        <f t="shared" si="206"/>
        <v>07020730631</v>
      </c>
      <c r="K1556" t="str">
        <f>""</f>
        <v/>
      </c>
      <c r="M1556" t="s">
        <v>68</v>
      </c>
      <c r="N1556" t="str">
        <f t="shared" si="205"/>
        <v>FOR</v>
      </c>
      <c r="O1556" t="s">
        <v>69</v>
      </c>
      <c r="P1556" t="s">
        <v>75</v>
      </c>
      <c r="Q1556">
        <v>2016</v>
      </c>
      <c r="R1556" s="4">
        <v>42489</v>
      </c>
      <c r="S1556" s="2">
        <v>42496</v>
      </c>
      <c r="T1556" s="2">
        <v>42493</v>
      </c>
      <c r="U1556" s="4">
        <v>42553</v>
      </c>
      <c r="V1556" t="s">
        <v>71</v>
      </c>
      <c r="W1556" t="str">
        <f>"               153PA"</f>
        <v xml:space="preserve">               153PA</v>
      </c>
      <c r="X1556" s="1">
        <v>12263.44</v>
      </c>
      <c r="Y1556">
        <v>0</v>
      </c>
      <c r="Z1556" s="5">
        <v>10052</v>
      </c>
      <c r="AA1556" s="3">
        <v>229</v>
      </c>
      <c r="AB1556" s="5">
        <v>2301908</v>
      </c>
      <c r="AC1556" s="1">
        <v>10052</v>
      </c>
      <c r="AD1556">
        <v>229</v>
      </c>
      <c r="AE1556" s="1">
        <v>2301908</v>
      </c>
      <c r="AF1556">
        <v>0</v>
      </c>
      <c r="AJ1556">
        <v>0</v>
      </c>
      <c r="AK1556">
        <v>0</v>
      </c>
      <c r="AL1556">
        <v>0</v>
      </c>
      <c r="AM1556">
        <v>0</v>
      </c>
      <c r="AN1556">
        <v>0</v>
      </c>
      <c r="AO1556">
        <v>0</v>
      </c>
      <c r="AP1556" s="2">
        <v>42831</v>
      </c>
      <c r="AQ1556" t="s">
        <v>72</v>
      </c>
      <c r="AR1556" t="s">
        <v>72</v>
      </c>
      <c r="AS1556">
        <v>476</v>
      </c>
      <c r="AT1556" s="4">
        <v>42782</v>
      </c>
      <c r="AU1556" t="s">
        <v>73</v>
      </c>
      <c r="AV1556">
        <v>476</v>
      </c>
      <c r="AW1556" s="4">
        <v>42782</v>
      </c>
      <c r="BD1556">
        <v>0</v>
      </c>
      <c r="BN1556" t="s">
        <v>74</v>
      </c>
    </row>
    <row r="1557" spans="1:66">
      <c r="A1557">
        <v>104026</v>
      </c>
      <c r="B1557" t="s">
        <v>368</v>
      </c>
      <c r="C1557" s="1">
        <v>43201211</v>
      </c>
      <c r="D1557" t="s">
        <v>369</v>
      </c>
      <c r="H1557" t="str">
        <f t="shared" ref="H1557:I1577" si="207">"01948180649"</f>
        <v>01948180649</v>
      </c>
      <c r="I1557" t="str">
        <f t="shared" si="207"/>
        <v>01948180649</v>
      </c>
      <c r="K1557" t="str">
        <f>""</f>
        <v/>
      </c>
      <c r="M1557" t="s">
        <v>68</v>
      </c>
      <c r="N1557" t="str">
        <f t="shared" ref="N1557:N1577" si="208">"AZ2"</f>
        <v>AZ2</v>
      </c>
      <c r="O1557" t="s">
        <v>370</v>
      </c>
      <c r="P1557" t="s">
        <v>75</v>
      </c>
      <c r="Q1557">
        <v>2015</v>
      </c>
      <c r="R1557" s="4">
        <v>42305</v>
      </c>
      <c r="S1557" s="2">
        <v>42305</v>
      </c>
      <c r="T1557" s="2">
        <v>42305</v>
      </c>
      <c r="U1557" s="4">
        <v>42365</v>
      </c>
      <c r="V1557" t="s">
        <v>71</v>
      </c>
      <c r="W1557" t="str">
        <f>"              040/82"</f>
        <v xml:space="preserve">              040/82</v>
      </c>
      <c r="X1557" s="1">
        <v>3634</v>
      </c>
      <c r="Y1557">
        <v>0</v>
      </c>
      <c r="Z1557" s="5">
        <v>3634</v>
      </c>
      <c r="AA1557" s="3">
        <v>400</v>
      </c>
      <c r="AB1557" s="5">
        <v>1453600</v>
      </c>
      <c r="AC1557" s="1">
        <v>3634</v>
      </c>
      <c r="AD1557">
        <v>400</v>
      </c>
      <c r="AE1557" s="1">
        <v>1453600</v>
      </c>
      <c r="AF1557">
        <v>0</v>
      </c>
      <c r="AJ1557">
        <v>0</v>
      </c>
      <c r="AK1557">
        <v>0</v>
      </c>
      <c r="AL1557">
        <v>0</v>
      </c>
      <c r="AM1557">
        <v>0</v>
      </c>
      <c r="AN1557">
        <v>0</v>
      </c>
      <c r="AO1557">
        <v>0</v>
      </c>
      <c r="AP1557" s="2">
        <v>42831</v>
      </c>
      <c r="AQ1557" t="s">
        <v>72</v>
      </c>
      <c r="AR1557" t="s">
        <v>72</v>
      </c>
      <c r="AS1557">
        <v>151</v>
      </c>
      <c r="AT1557" s="4">
        <v>42765</v>
      </c>
      <c r="AU1557" t="s">
        <v>73</v>
      </c>
      <c r="AV1557">
        <v>151</v>
      </c>
      <c r="AW1557" s="4">
        <v>42765</v>
      </c>
      <c r="BD1557">
        <v>0</v>
      </c>
      <c r="BN1557" t="s">
        <v>74</v>
      </c>
    </row>
    <row r="1558" spans="1:66">
      <c r="A1558">
        <v>104026</v>
      </c>
      <c r="B1558" t="s">
        <v>368</v>
      </c>
      <c r="C1558" s="1">
        <v>43201211</v>
      </c>
      <c r="D1558" t="s">
        <v>369</v>
      </c>
      <c r="H1558" t="str">
        <f t="shared" si="207"/>
        <v>01948180649</v>
      </c>
      <c r="I1558" t="str">
        <f t="shared" si="207"/>
        <v>01948180649</v>
      </c>
      <c r="K1558" t="str">
        <f>""</f>
        <v/>
      </c>
      <c r="M1558" t="s">
        <v>68</v>
      </c>
      <c r="N1558" t="str">
        <f t="shared" si="208"/>
        <v>AZ2</v>
      </c>
      <c r="O1558" t="s">
        <v>370</v>
      </c>
      <c r="P1558" t="s">
        <v>75</v>
      </c>
      <c r="Q1558">
        <v>2015</v>
      </c>
      <c r="R1558" s="4">
        <v>42305</v>
      </c>
      <c r="S1558" s="2">
        <v>42305</v>
      </c>
      <c r="T1558" s="2">
        <v>42305</v>
      </c>
      <c r="U1558" s="4">
        <v>42365</v>
      </c>
      <c r="V1558" t="s">
        <v>71</v>
      </c>
      <c r="W1558" t="str">
        <f>"              040/84"</f>
        <v xml:space="preserve">              040/84</v>
      </c>
      <c r="X1558" s="1">
        <v>12053</v>
      </c>
      <c r="Y1558">
        <v>0</v>
      </c>
      <c r="Z1558" s="5">
        <v>12053</v>
      </c>
      <c r="AA1558" s="3">
        <v>400</v>
      </c>
      <c r="AB1558" s="5">
        <v>4821200</v>
      </c>
      <c r="AC1558" s="1">
        <v>12053</v>
      </c>
      <c r="AD1558">
        <v>400</v>
      </c>
      <c r="AE1558" s="1">
        <v>4821200</v>
      </c>
      <c r="AF1558">
        <v>0</v>
      </c>
      <c r="AJ1558">
        <v>0</v>
      </c>
      <c r="AK1558">
        <v>0</v>
      </c>
      <c r="AL1558">
        <v>0</v>
      </c>
      <c r="AM1558">
        <v>0</v>
      </c>
      <c r="AN1558">
        <v>0</v>
      </c>
      <c r="AO1558">
        <v>0</v>
      </c>
      <c r="AP1558" s="2">
        <v>42831</v>
      </c>
      <c r="AQ1558" t="s">
        <v>72</v>
      </c>
      <c r="AR1558" t="s">
        <v>72</v>
      </c>
      <c r="AS1558">
        <v>151</v>
      </c>
      <c r="AT1558" s="4">
        <v>42765</v>
      </c>
      <c r="AU1558" t="s">
        <v>73</v>
      </c>
      <c r="AV1558">
        <v>151</v>
      </c>
      <c r="AW1558" s="4">
        <v>42765</v>
      </c>
      <c r="BD1558">
        <v>0</v>
      </c>
      <c r="BN1558" t="s">
        <v>74</v>
      </c>
    </row>
    <row r="1559" spans="1:66">
      <c r="A1559">
        <v>104026</v>
      </c>
      <c r="B1559" t="s">
        <v>368</v>
      </c>
      <c r="C1559" s="1">
        <v>43201211</v>
      </c>
      <c r="D1559" t="s">
        <v>369</v>
      </c>
      <c r="H1559" t="str">
        <f t="shared" si="207"/>
        <v>01948180649</v>
      </c>
      <c r="I1559" t="str">
        <f t="shared" si="207"/>
        <v>01948180649</v>
      </c>
      <c r="K1559" t="str">
        <f>""</f>
        <v/>
      </c>
      <c r="M1559" t="s">
        <v>68</v>
      </c>
      <c r="N1559" t="str">
        <f t="shared" si="208"/>
        <v>AZ2</v>
      </c>
      <c r="O1559" t="s">
        <v>370</v>
      </c>
      <c r="P1559" t="s">
        <v>75</v>
      </c>
      <c r="Q1559">
        <v>2015</v>
      </c>
      <c r="R1559" s="4">
        <v>42305</v>
      </c>
      <c r="S1559" s="2">
        <v>42305</v>
      </c>
      <c r="T1559" s="2">
        <v>42305</v>
      </c>
      <c r="U1559" s="4">
        <v>42365</v>
      </c>
      <c r="V1559" t="s">
        <v>71</v>
      </c>
      <c r="W1559" t="str">
        <f>"              040/87"</f>
        <v xml:space="preserve">              040/87</v>
      </c>
      <c r="X1559" s="1">
        <v>4384</v>
      </c>
      <c r="Y1559">
        <v>0</v>
      </c>
      <c r="Z1559" s="5">
        <v>4384</v>
      </c>
      <c r="AA1559" s="3">
        <v>400</v>
      </c>
      <c r="AB1559" s="5">
        <v>1753600</v>
      </c>
      <c r="AC1559" s="1">
        <v>4384</v>
      </c>
      <c r="AD1559">
        <v>400</v>
      </c>
      <c r="AE1559" s="1">
        <v>1753600</v>
      </c>
      <c r="AF1559">
        <v>0</v>
      </c>
      <c r="AJ1559">
        <v>0</v>
      </c>
      <c r="AK1559">
        <v>0</v>
      </c>
      <c r="AL1559">
        <v>0</v>
      </c>
      <c r="AM1559">
        <v>0</v>
      </c>
      <c r="AN1559">
        <v>0</v>
      </c>
      <c r="AO1559">
        <v>0</v>
      </c>
      <c r="AP1559" s="2">
        <v>42831</v>
      </c>
      <c r="AQ1559" t="s">
        <v>72</v>
      </c>
      <c r="AR1559" t="s">
        <v>72</v>
      </c>
      <c r="AS1559">
        <v>151</v>
      </c>
      <c r="AT1559" s="4">
        <v>42765</v>
      </c>
      <c r="AU1559" t="s">
        <v>73</v>
      </c>
      <c r="AV1559">
        <v>151</v>
      </c>
      <c r="AW1559" s="4">
        <v>42765</v>
      </c>
      <c r="BD1559">
        <v>0</v>
      </c>
      <c r="BN1559" t="s">
        <v>74</v>
      </c>
    </row>
    <row r="1560" spans="1:66">
      <c r="A1560">
        <v>104026</v>
      </c>
      <c r="B1560" t="s">
        <v>368</v>
      </c>
      <c r="C1560" s="1">
        <v>43201211</v>
      </c>
      <c r="D1560" t="s">
        <v>369</v>
      </c>
      <c r="H1560" t="str">
        <f t="shared" si="207"/>
        <v>01948180649</v>
      </c>
      <c r="I1560" t="str">
        <f t="shared" si="207"/>
        <v>01948180649</v>
      </c>
      <c r="K1560" t="str">
        <f>""</f>
        <v/>
      </c>
      <c r="M1560" t="s">
        <v>68</v>
      </c>
      <c r="N1560" t="str">
        <f t="shared" si="208"/>
        <v>AZ2</v>
      </c>
      <c r="O1560" t="s">
        <v>370</v>
      </c>
      <c r="P1560" t="s">
        <v>75</v>
      </c>
      <c r="Q1560">
        <v>2016</v>
      </c>
      <c r="R1560" s="4">
        <v>42422</v>
      </c>
      <c r="S1560" s="2">
        <v>42422</v>
      </c>
      <c r="T1560" s="2">
        <v>42422</v>
      </c>
      <c r="U1560" s="4">
        <v>42482</v>
      </c>
      <c r="V1560" t="s">
        <v>71</v>
      </c>
      <c r="W1560" t="str">
        <f>"              040/10"</f>
        <v xml:space="preserve">              040/10</v>
      </c>
      <c r="X1560" s="1">
        <v>12431</v>
      </c>
      <c r="Y1560">
        <v>0</v>
      </c>
      <c r="Z1560" s="5">
        <v>12431</v>
      </c>
      <c r="AA1560" s="3">
        <v>283</v>
      </c>
      <c r="AB1560" s="5">
        <v>3517973</v>
      </c>
      <c r="AC1560" s="1">
        <v>12431</v>
      </c>
      <c r="AD1560">
        <v>283</v>
      </c>
      <c r="AE1560" s="1">
        <v>3517973</v>
      </c>
      <c r="AF1560">
        <v>0</v>
      </c>
      <c r="AJ1560">
        <v>0</v>
      </c>
      <c r="AK1560">
        <v>0</v>
      </c>
      <c r="AL1560">
        <v>0</v>
      </c>
      <c r="AM1560">
        <v>0</v>
      </c>
      <c r="AN1560">
        <v>0</v>
      </c>
      <c r="AO1560">
        <v>0</v>
      </c>
      <c r="AP1560" s="2">
        <v>42831</v>
      </c>
      <c r="AQ1560" t="s">
        <v>72</v>
      </c>
      <c r="AR1560" t="s">
        <v>72</v>
      </c>
      <c r="AS1560">
        <v>151</v>
      </c>
      <c r="AT1560" s="4">
        <v>42765</v>
      </c>
      <c r="AU1560" t="s">
        <v>73</v>
      </c>
      <c r="AV1560">
        <v>151</v>
      </c>
      <c r="AW1560" s="4">
        <v>42765</v>
      </c>
      <c r="BD1560">
        <v>0</v>
      </c>
      <c r="BN1560" t="s">
        <v>74</v>
      </c>
    </row>
    <row r="1561" spans="1:66">
      <c r="A1561">
        <v>104026</v>
      </c>
      <c r="B1561" t="s">
        <v>368</v>
      </c>
      <c r="C1561" s="1">
        <v>43201211</v>
      </c>
      <c r="D1561" t="s">
        <v>369</v>
      </c>
      <c r="H1561" t="str">
        <f t="shared" si="207"/>
        <v>01948180649</v>
      </c>
      <c r="I1561" t="str">
        <f t="shared" si="207"/>
        <v>01948180649</v>
      </c>
      <c r="K1561" t="str">
        <f>""</f>
        <v/>
      </c>
      <c r="M1561" t="s">
        <v>68</v>
      </c>
      <c r="N1561" t="str">
        <f t="shared" si="208"/>
        <v>AZ2</v>
      </c>
      <c r="O1561" t="s">
        <v>370</v>
      </c>
      <c r="P1561" t="s">
        <v>75</v>
      </c>
      <c r="Q1561">
        <v>2016</v>
      </c>
      <c r="R1561" s="4">
        <v>42466</v>
      </c>
      <c r="S1561" s="2">
        <v>42466</v>
      </c>
      <c r="T1561" s="2">
        <v>42466</v>
      </c>
      <c r="U1561" s="4">
        <v>42526</v>
      </c>
      <c r="V1561" t="s">
        <v>71</v>
      </c>
      <c r="W1561" t="str">
        <f>"              040/59"</f>
        <v xml:space="preserve">              040/59</v>
      </c>
      <c r="X1561" s="1">
        <v>1432.54</v>
      </c>
      <c r="Y1561">
        <v>0</v>
      </c>
      <c r="Z1561" s="5">
        <v>1432.54</v>
      </c>
      <c r="AA1561" s="3">
        <v>239</v>
      </c>
      <c r="AB1561" s="5">
        <v>342377.06</v>
      </c>
      <c r="AC1561" s="1">
        <v>1432.54</v>
      </c>
      <c r="AD1561">
        <v>239</v>
      </c>
      <c r="AE1561" s="1">
        <v>342377.06</v>
      </c>
      <c r="AF1561">
        <v>0</v>
      </c>
      <c r="AJ1561">
        <v>0</v>
      </c>
      <c r="AK1561">
        <v>0</v>
      </c>
      <c r="AL1561">
        <v>0</v>
      </c>
      <c r="AM1561">
        <v>0</v>
      </c>
      <c r="AN1561">
        <v>0</v>
      </c>
      <c r="AO1561">
        <v>0</v>
      </c>
      <c r="AP1561" s="2">
        <v>42831</v>
      </c>
      <c r="AQ1561" t="s">
        <v>72</v>
      </c>
      <c r="AR1561" t="s">
        <v>72</v>
      </c>
      <c r="AS1561">
        <v>151</v>
      </c>
      <c r="AT1561" s="4">
        <v>42765</v>
      </c>
      <c r="AU1561" t="s">
        <v>73</v>
      </c>
      <c r="AV1561">
        <v>151</v>
      </c>
      <c r="AW1561" s="4">
        <v>42765</v>
      </c>
      <c r="BD1561">
        <v>0</v>
      </c>
      <c r="BN1561" t="s">
        <v>74</v>
      </c>
    </row>
    <row r="1562" spans="1:66">
      <c r="A1562">
        <v>104026</v>
      </c>
      <c r="B1562" t="s">
        <v>368</v>
      </c>
      <c r="C1562" s="1">
        <v>43201211</v>
      </c>
      <c r="D1562" t="s">
        <v>369</v>
      </c>
      <c r="H1562" t="str">
        <f t="shared" si="207"/>
        <v>01948180649</v>
      </c>
      <c r="I1562" t="str">
        <f t="shared" si="207"/>
        <v>01948180649</v>
      </c>
      <c r="K1562" t="str">
        <f>""</f>
        <v/>
      </c>
      <c r="M1562" t="s">
        <v>68</v>
      </c>
      <c r="N1562" t="str">
        <f t="shared" si="208"/>
        <v>AZ2</v>
      </c>
      <c r="O1562" t="s">
        <v>370</v>
      </c>
      <c r="P1562" t="s">
        <v>75</v>
      </c>
      <c r="Q1562">
        <v>2016</v>
      </c>
      <c r="R1562" s="4">
        <v>42466</v>
      </c>
      <c r="S1562" s="2">
        <v>42466</v>
      </c>
      <c r="T1562" s="2">
        <v>42466</v>
      </c>
      <c r="U1562" s="4">
        <v>42526</v>
      </c>
      <c r="V1562" t="s">
        <v>71</v>
      </c>
      <c r="W1562" t="str">
        <f>"              040/60"</f>
        <v xml:space="preserve">              040/60</v>
      </c>
      <c r="X1562" s="1">
        <v>2863.08</v>
      </c>
      <c r="Y1562">
        <v>0</v>
      </c>
      <c r="Z1562" s="5">
        <v>2863.08</v>
      </c>
      <c r="AA1562" s="3">
        <v>239</v>
      </c>
      <c r="AB1562" s="5">
        <v>684276.12</v>
      </c>
      <c r="AC1562" s="1">
        <v>2863.08</v>
      </c>
      <c r="AD1562">
        <v>239</v>
      </c>
      <c r="AE1562" s="1">
        <v>684276.12</v>
      </c>
      <c r="AF1562">
        <v>0</v>
      </c>
      <c r="AJ1562">
        <v>0</v>
      </c>
      <c r="AK1562">
        <v>0</v>
      </c>
      <c r="AL1562">
        <v>0</v>
      </c>
      <c r="AM1562">
        <v>0</v>
      </c>
      <c r="AN1562">
        <v>0</v>
      </c>
      <c r="AO1562">
        <v>0</v>
      </c>
      <c r="AP1562" s="2">
        <v>42831</v>
      </c>
      <c r="AQ1562" t="s">
        <v>72</v>
      </c>
      <c r="AR1562" t="s">
        <v>72</v>
      </c>
      <c r="AS1562">
        <v>151</v>
      </c>
      <c r="AT1562" s="4">
        <v>42765</v>
      </c>
      <c r="AU1562" t="s">
        <v>73</v>
      </c>
      <c r="AV1562">
        <v>151</v>
      </c>
      <c r="AW1562" s="4">
        <v>42765</v>
      </c>
      <c r="BD1562">
        <v>0</v>
      </c>
      <c r="BN1562" t="s">
        <v>74</v>
      </c>
    </row>
    <row r="1563" spans="1:66">
      <c r="A1563">
        <v>104026</v>
      </c>
      <c r="B1563" t="s">
        <v>368</v>
      </c>
      <c r="C1563" s="1">
        <v>43201211</v>
      </c>
      <c r="D1563" t="s">
        <v>369</v>
      </c>
      <c r="H1563" t="str">
        <f t="shared" si="207"/>
        <v>01948180649</v>
      </c>
      <c r="I1563" t="str">
        <f t="shared" si="207"/>
        <v>01948180649</v>
      </c>
      <c r="K1563" t="str">
        <f>""</f>
        <v/>
      </c>
      <c r="M1563" t="s">
        <v>68</v>
      </c>
      <c r="N1563" t="str">
        <f t="shared" si="208"/>
        <v>AZ2</v>
      </c>
      <c r="O1563" t="s">
        <v>370</v>
      </c>
      <c r="P1563" t="s">
        <v>75</v>
      </c>
      <c r="Q1563">
        <v>2016</v>
      </c>
      <c r="R1563" s="4">
        <v>42472</v>
      </c>
      <c r="S1563" s="2">
        <v>42472</v>
      </c>
      <c r="T1563" s="2">
        <v>42472</v>
      </c>
      <c r="U1563" s="4">
        <v>42532</v>
      </c>
      <c r="V1563" t="s">
        <v>71</v>
      </c>
      <c r="W1563" t="str">
        <f>"              040/63"</f>
        <v xml:space="preserve">              040/63</v>
      </c>
      <c r="X1563">
        <v>518.46</v>
      </c>
      <c r="Y1563">
        <v>0</v>
      </c>
      <c r="Z1563" s="5">
        <v>518.46</v>
      </c>
      <c r="AA1563" s="3">
        <v>233</v>
      </c>
      <c r="AB1563" s="5">
        <v>120801.18</v>
      </c>
      <c r="AC1563">
        <v>518.46</v>
      </c>
      <c r="AD1563">
        <v>233</v>
      </c>
      <c r="AE1563" s="1">
        <v>120801.18</v>
      </c>
      <c r="AF1563">
        <v>0</v>
      </c>
      <c r="AJ1563">
        <v>0</v>
      </c>
      <c r="AK1563">
        <v>0</v>
      </c>
      <c r="AL1563">
        <v>0</v>
      </c>
      <c r="AM1563">
        <v>0</v>
      </c>
      <c r="AN1563">
        <v>0</v>
      </c>
      <c r="AO1563">
        <v>0</v>
      </c>
      <c r="AP1563" s="2">
        <v>42831</v>
      </c>
      <c r="AQ1563" t="s">
        <v>72</v>
      </c>
      <c r="AR1563" t="s">
        <v>72</v>
      </c>
      <c r="AS1563">
        <v>151</v>
      </c>
      <c r="AT1563" s="4">
        <v>42765</v>
      </c>
      <c r="AU1563" t="s">
        <v>73</v>
      </c>
      <c r="AV1563">
        <v>151</v>
      </c>
      <c r="AW1563" s="4">
        <v>42765</v>
      </c>
      <c r="BD1563">
        <v>0</v>
      </c>
      <c r="BN1563" t="s">
        <v>74</v>
      </c>
    </row>
    <row r="1564" spans="1:66">
      <c r="A1564">
        <v>104026</v>
      </c>
      <c r="B1564" t="s">
        <v>368</v>
      </c>
      <c r="C1564" s="1">
        <v>43201211</v>
      </c>
      <c r="D1564" t="s">
        <v>369</v>
      </c>
      <c r="H1564" t="str">
        <f t="shared" si="207"/>
        <v>01948180649</v>
      </c>
      <c r="I1564" t="str">
        <f t="shared" si="207"/>
        <v>01948180649</v>
      </c>
      <c r="K1564" t="str">
        <f>""</f>
        <v/>
      </c>
      <c r="M1564" t="s">
        <v>68</v>
      </c>
      <c r="N1564" t="str">
        <f t="shared" si="208"/>
        <v>AZ2</v>
      </c>
      <c r="O1564" t="s">
        <v>370</v>
      </c>
      <c r="P1564" t="s">
        <v>75</v>
      </c>
      <c r="Q1564">
        <v>2016</v>
      </c>
      <c r="R1564" s="4">
        <v>42474</v>
      </c>
      <c r="S1564" s="2">
        <v>42475</v>
      </c>
      <c r="T1564" s="2">
        <v>42474</v>
      </c>
      <c r="U1564" s="4">
        <v>42534</v>
      </c>
      <c r="V1564" t="s">
        <v>71</v>
      </c>
      <c r="W1564" t="str">
        <f>"              040/66"</f>
        <v xml:space="preserve">              040/66</v>
      </c>
      <c r="X1564" s="1">
        <v>1432.54</v>
      </c>
      <c r="Y1564">
        <v>0</v>
      </c>
      <c r="Z1564" s="5">
        <v>1432.54</v>
      </c>
      <c r="AA1564" s="3">
        <v>231</v>
      </c>
      <c r="AB1564" s="5">
        <v>330916.74</v>
      </c>
      <c r="AC1564" s="1">
        <v>1432.54</v>
      </c>
      <c r="AD1564">
        <v>231</v>
      </c>
      <c r="AE1564" s="1">
        <v>330916.74</v>
      </c>
      <c r="AF1564">
        <v>0</v>
      </c>
      <c r="AJ1564">
        <v>0</v>
      </c>
      <c r="AK1564">
        <v>0</v>
      </c>
      <c r="AL1564">
        <v>0</v>
      </c>
      <c r="AM1564">
        <v>0</v>
      </c>
      <c r="AN1564">
        <v>0</v>
      </c>
      <c r="AO1564">
        <v>0</v>
      </c>
      <c r="AP1564" s="2">
        <v>42831</v>
      </c>
      <c r="AQ1564" t="s">
        <v>72</v>
      </c>
      <c r="AR1564" t="s">
        <v>72</v>
      </c>
      <c r="AS1564">
        <v>151</v>
      </c>
      <c r="AT1564" s="4">
        <v>42765</v>
      </c>
      <c r="AU1564" t="s">
        <v>73</v>
      </c>
      <c r="AV1564">
        <v>151</v>
      </c>
      <c r="AW1564" s="4">
        <v>42765</v>
      </c>
      <c r="BD1564">
        <v>0</v>
      </c>
      <c r="BN1564" t="s">
        <v>74</v>
      </c>
    </row>
    <row r="1565" spans="1:66">
      <c r="A1565">
        <v>104026</v>
      </c>
      <c r="B1565" t="s">
        <v>368</v>
      </c>
      <c r="C1565" s="1">
        <v>43201211</v>
      </c>
      <c r="D1565" t="s">
        <v>369</v>
      </c>
      <c r="H1565" t="str">
        <f t="shared" si="207"/>
        <v>01948180649</v>
      </c>
      <c r="I1565" t="str">
        <f t="shared" si="207"/>
        <v>01948180649</v>
      </c>
      <c r="K1565" t="str">
        <f>""</f>
        <v/>
      </c>
      <c r="M1565" t="s">
        <v>68</v>
      </c>
      <c r="N1565" t="str">
        <f t="shared" si="208"/>
        <v>AZ2</v>
      </c>
      <c r="O1565" t="s">
        <v>370</v>
      </c>
      <c r="P1565" t="s">
        <v>75</v>
      </c>
      <c r="Q1565">
        <v>2016</v>
      </c>
      <c r="R1565" s="4">
        <v>42559</v>
      </c>
      <c r="S1565" s="2">
        <v>42562</v>
      </c>
      <c r="T1565" s="2">
        <v>42559</v>
      </c>
      <c r="U1565" s="4">
        <v>42619</v>
      </c>
      <c r="V1565" t="s">
        <v>71</v>
      </c>
      <c r="W1565" t="str">
        <f>"             040/117"</f>
        <v xml:space="preserve">             040/117</v>
      </c>
      <c r="X1565" s="1">
        <v>1432.54</v>
      </c>
      <c r="Y1565">
        <v>0</v>
      </c>
      <c r="Z1565" s="5">
        <v>1432.54</v>
      </c>
      <c r="AA1565" s="3">
        <v>146</v>
      </c>
      <c r="AB1565" s="5">
        <v>209150.84</v>
      </c>
      <c r="AC1565" s="1">
        <v>1432.54</v>
      </c>
      <c r="AD1565">
        <v>146</v>
      </c>
      <c r="AE1565" s="1">
        <v>209150.84</v>
      </c>
      <c r="AF1565">
        <v>0</v>
      </c>
      <c r="AJ1565">
        <v>0</v>
      </c>
      <c r="AK1565">
        <v>0</v>
      </c>
      <c r="AL1565">
        <v>0</v>
      </c>
      <c r="AM1565">
        <v>0</v>
      </c>
      <c r="AN1565">
        <v>0</v>
      </c>
      <c r="AO1565">
        <v>0</v>
      </c>
      <c r="AP1565" s="2">
        <v>42831</v>
      </c>
      <c r="AQ1565" t="s">
        <v>72</v>
      </c>
      <c r="AR1565" t="s">
        <v>72</v>
      </c>
      <c r="AS1565">
        <v>151</v>
      </c>
      <c r="AT1565" s="4">
        <v>42765</v>
      </c>
      <c r="AU1565" t="s">
        <v>73</v>
      </c>
      <c r="AV1565">
        <v>151</v>
      </c>
      <c r="AW1565" s="4">
        <v>42765</v>
      </c>
      <c r="BD1565">
        <v>0</v>
      </c>
      <c r="BN1565" t="s">
        <v>74</v>
      </c>
    </row>
    <row r="1566" spans="1:66">
      <c r="A1566">
        <v>104026</v>
      </c>
      <c r="B1566" t="s">
        <v>368</v>
      </c>
      <c r="C1566" s="1">
        <v>43201211</v>
      </c>
      <c r="D1566" t="s">
        <v>369</v>
      </c>
      <c r="H1566" t="str">
        <f t="shared" si="207"/>
        <v>01948180649</v>
      </c>
      <c r="I1566" t="str">
        <f t="shared" si="207"/>
        <v>01948180649</v>
      </c>
      <c r="K1566" t="str">
        <f>""</f>
        <v/>
      </c>
      <c r="M1566" t="s">
        <v>68</v>
      </c>
      <c r="N1566" t="str">
        <f t="shared" si="208"/>
        <v>AZ2</v>
      </c>
      <c r="O1566" t="s">
        <v>370</v>
      </c>
      <c r="P1566" t="s">
        <v>75</v>
      </c>
      <c r="Q1566">
        <v>2016</v>
      </c>
      <c r="R1566" s="4">
        <v>42583</v>
      </c>
      <c r="S1566" s="2">
        <v>42583</v>
      </c>
      <c r="T1566" s="2">
        <v>42583</v>
      </c>
      <c r="U1566" s="4">
        <v>42643</v>
      </c>
      <c r="V1566" t="s">
        <v>71</v>
      </c>
      <c r="W1566" t="str">
        <f>"             040/133"</f>
        <v xml:space="preserve">             040/133</v>
      </c>
      <c r="X1566" s="1">
        <v>1432.54</v>
      </c>
      <c r="Y1566">
        <v>0</v>
      </c>
      <c r="Z1566" s="5">
        <v>1432.54</v>
      </c>
      <c r="AA1566" s="3">
        <v>122</v>
      </c>
      <c r="AB1566" s="5">
        <v>174769.88</v>
      </c>
      <c r="AC1566" s="1">
        <v>1432.54</v>
      </c>
      <c r="AD1566">
        <v>122</v>
      </c>
      <c r="AE1566" s="1">
        <v>174769.88</v>
      </c>
      <c r="AF1566">
        <v>0</v>
      </c>
      <c r="AJ1566">
        <v>0</v>
      </c>
      <c r="AK1566">
        <v>0</v>
      </c>
      <c r="AL1566">
        <v>0</v>
      </c>
      <c r="AM1566">
        <v>0</v>
      </c>
      <c r="AN1566">
        <v>0</v>
      </c>
      <c r="AO1566">
        <v>0</v>
      </c>
      <c r="AP1566" s="2">
        <v>42831</v>
      </c>
      <c r="AQ1566" t="s">
        <v>72</v>
      </c>
      <c r="AR1566" t="s">
        <v>72</v>
      </c>
      <c r="AS1566">
        <v>151</v>
      </c>
      <c r="AT1566" s="4">
        <v>42765</v>
      </c>
      <c r="AU1566" t="s">
        <v>73</v>
      </c>
      <c r="AV1566">
        <v>151</v>
      </c>
      <c r="AW1566" s="4">
        <v>42765</v>
      </c>
      <c r="BD1566">
        <v>0</v>
      </c>
      <c r="BN1566" t="s">
        <v>74</v>
      </c>
    </row>
    <row r="1567" spans="1:66">
      <c r="A1567">
        <v>104026</v>
      </c>
      <c r="B1567" t="s">
        <v>368</v>
      </c>
      <c r="C1567" s="1">
        <v>43201211</v>
      </c>
      <c r="D1567" t="s">
        <v>369</v>
      </c>
      <c r="H1567" t="str">
        <f t="shared" si="207"/>
        <v>01948180649</v>
      </c>
      <c r="I1567" t="str">
        <f t="shared" si="207"/>
        <v>01948180649</v>
      </c>
      <c r="K1567" t="str">
        <f>""</f>
        <v/>
      </c>
      <c r="M1567" t="s">
        <v>68</v>
      </c>
      <c r="N1567" t="str">
        <f t="shared" si="208"/>
        <v>AZ2</v>
      </c>
      <c r="O1567" t="s">
        <v>370</v>
      </c>
      <c r="P1567" t="s">
        <v>75</v>
      </c>
      <c r="Q1567">
        <v>2016</v>
      </c>
      <c r="R1567" s="4">
        <v>42583</v>
      </c>
      <c r="S1567" s="2">
        <v>42583</v>
      </c>
      <c r="T1567" s="2">
        <v>42583</v>
      </c>
      <c r="U1567" s="4">
        <v>42643</v>
      </c>
      <c r="V1567" t="s">
        <v>71</v>
      </c>
      <c r="W1567" t="str">
        <f>"             040/134"</f>
        <v xml:space="preserve">             040/134</v>
      </c>
      <c r="X1567" s="1">
        <v>1432.54</v>
      </c>
      <c r="Y1567">
        <v>0</v>
      </c>
      <c r="Z1567" s="5">
        <v>1432.54</v>
      </c>
      <c r="AA1567" s="3">
        <v>122</v>
      </c>
      <c r="AB1567" s="5">
        <v>174769.88</v>
      </c>
      <c r="AC1567" s="1">
        <v>1432.54</v>
      </c>
      <c r="AD1567">
        <v>122</v>
      </c>
      <c r="AE1567" s="1">
        <v>174769.88</v>
      </c>
      <c r="AF1567">
        <v>0</v>
      </c>
      <c r="AJ1567">
        <v>0</v>
      </c>
      <c r="AK1567">
        <v>0</v>
      </c>
      <c r="AL1567">
        <v>0</v>
      </c>
      <c r="AM1567">
        <v>0</v>
      </c>
      <c r="AN1567">
        <v>0</v>
      </c>
      <c r="AO1567">
        <v>0</v>
      </c>
      <c r="AP1567" s="2">
        <v>42831</v>
      </c>
      <c r="AQ1567" t="s">
        <v>72</v>
      </c>
      <c r="AR1567" t="s">
        <v>72</v>
      </c>
      <c r="AS1567">
        <v>151</v>
      </c>
      <c r="AT1567" s="4">
        <v>42765</v>
      </c>
      <c r="AU1567" t="s">
        <v>73</v>
      </c>
      <c r="AV1567">
        <v>151</v>
      </c>
      <c r="AW1567" s="4">
        <v>42765</v>
      </c>
      <c r="BD1567">
        <v>0</v>
      </c>
      <c r="BN1567" t="s">
        <v>74</v>
      </c>
    </row>
    <row r="1568" spans="1:66">
      <c r="A1568">
        <v>104026</v>
      </c>
      <c r="B1568" t="s">
        <v>368</v>
      </c>
      <c r="C1568" s="1">
        <v>43201211</v>
      </c>
      <c r="D1568" t="s">
        <v>369</v>
      </c>
      <c r="H1568" t="str">
        <f t="shared" si="207"/>
        <v>01948180649</v>
      </c>
      <c r="I1568" t="str">
        <f t="shared" si="207"/>
        <v>01948180649</v>
      </c>
      <c r="K1568" t="str">
        <f>""</f>
        <v/>
      </c>
      <c r="M1568" t="s">
        <v>68</v>
      </c>
      <c r="N1568" t="str">
        <f t="shared" si="208"/>
        <v>AZ2</v>
      </c>
      <c r="O1568" t="s">
        <v>370</v>
      </c>
      <c r="P1568" t="s">
        <v>75</v>
      </c>
      <c r="Q1568">
        <v>2016</v>
      </c>
      <c r="R1568" s="4">
        <v>42618</v>
      </c>
      <c r="S1568" s="2">
        <v>42618</v>
      </c>
      <c r="T1568" s="2">
        <v>42618</v>
      </c>
      <c r="U1568" s="4">
        <v>42678</v>
      </c>
      <c r="V1568" t="s">
        <v>71</v>
      </c>
      <c r="W1568" t="str">
        <f>"             040/146"</f>
        <v xml:space="preserve">             040/146</v>
      </c>
      <c r="X1568">
        <v>518.46</v>
      </c>
      <c r="Y1568">
        <v>0</v>
      </c>
      <c r="Z1568" s="5">
        <v>518.46</v>
      </c>
      <c r="AA1568" s="3">
        <v>87</v>
      </c>
      <c r="AB1568" s="5">
        <v>45106.02</v>
      </c>
      <c r="AC1568">
        <v>518.46</v>
      </c>
      <c r="AD1568">
        <v>87</v>
      </c>
      <c r="AE1568" s="1">
        <v>45106.02</v>
      </c>
      <c r="AF1568">
        <v>0</v>
      </c>
      <c r="AJ1568">
        <v>0</v>
      </c>
      <c r="AK1568">
        <v>0</v>
      </c>
      <c r="AL1568">
        <v>0</v>
      </c>
      <c r="AM1568">
        <v>0</v>
      </c>
      <c r="AN1568">
        <v>0</v>
      </c>
      <c r="AO1568">
        <v>0</v>
      </c>
      <c r="AP1568" s="2">
        <v>42831</v>
      </c>
      <c r="AQ1568" t="s">
        <v>72</v>
      </c>
      <c r="AR1568" t="s">
        <v>72</v>
      </c>
      <c r="AS1568">
        <v>151</v>
      </c>
      <c r="AT1568" s="4">
        <v>42765</v>
      </c>
      <c r="AU1568" t="s">
        <v>73</v>
      </c>
      <c r="AV1568">
        <v>151</v>
      </c>
      <c r="AW1568" s="4">
        <v>42765</v>
      </c>
      <c r="BD1568">
        <v>0</v>
      </c>
      <c r="BN1568" t="s">
        <v>74</v>
      </c>
    </row>
    <row r="1569" spans="1:66">
      <c r="A1569">
        <v>104026</v>
      </c>
      <c r="B1569" t="s">
        <v>368</v>
      </c>
      <c r="C1569" s="1">
        <v>43201211</v>
      </c>
      <c r="D1569" t="s">
        <v>369</v>
      </c>
      <c r="H1569" t="str">
        <f t="shared" si="207"/>
        <v>01948180649</v>
      </c>
      <c r="I1569" t="str">
        <f t="shared" si="207"/>
        <v>01948180649</v>
      </c>
      <c r="K1569" t="str">
        <f>""</f>
        <v/>
      </c>
      <c r="M1569" t="s">
        <v>68</v>
      </c>
      <c r="N1569" t="str">
        <f t="shared" si="208"/>
        <v>AZ2</v>
      </c>
      <c r="O1569" t="s">
        <v>370</v>
      </c>
      <c r="P1569" t="s">
        <v>75</v>
      </c>
      <c r="Q1569">
        <v>2016</v>
      </c>
      <c r="R1569" s="4">
        <v>42618</v>
      </c>
      <c r="S1569" s="2">
        <v>42618</v>
      </c>
      <c r="T1569" s="2">
        <v>42618</v>
      </c>
      <c r="U1569" s="4">
        <v>42678</v>
      </c>
      <c r="V1569" t="s">
        <v>71</v>
      </c>
      <c r="W1569" t="str">
        <f>"             040/147"</f>
        <v xml:space="preserve">             040/147</v>
      </c>
      <c r="X1569" s="1">
        <v>1432.54</v>
      </c>
      <c r="Y1569">
        <v>0</v>
      </c>
      <c r="Z1569" s="5">
        <v>1432.54</v>
      </c>
      <c r="AA1569" s="3">
        <v>87</v>
      </c>
      <c r="AB1569" s="5">
        <v>124630.98</v>
      </c>
      <c r="AC1569" s="1">
        <v>1432.54</v>
      </c>
      <c r="AD1569">
        <v>87</v>
      </c>
      <c r="AE1569" s="1">
        <v>124630.98</v>
      </c>
      <c r="AF1569">
        <v>0</v>
      </c>
      <c r="AJ1569">
        <v>0</v>
      </c>
      <c r="AK1569">
        <v>0</v>
      </c>
      <c r="AL1569">
        <v>0</v>
      </c>
      <c r="AM1569">
        <v>0</v>
      </c>
      <c r="AN1569">
        <v>0</v>
      </c>
      <c r="AO1569">
        <v>0</v>
      </c>
      <c r="AP1569" s="2">
        <v>42831</v>
      </c>
      <c r="AQ1569" t="s">
        <v>72</v>
      </c>
      <c r="AR1569" t="s">
        <v>72</v>
      </c>
      <c r="AS1569">
        <v>151</v>
      </c>
      <c r="AT1569" s="4">
        <v>42765</v>
      </c>
      <c r="AU1569" t="s">
        <v>73</v>
      </c>
      <c r="AV1569">
        <v>151</v>
      </c>
      <c r="AW1569" s="4">
        <v>42765</v>
      </c>
      <c r="BD1569">
        <v>0</v>
      </c>
      <c r="BN1569" t="s">
        <v>74</v>
      </c>
    </row>
    <row r="1570" spans="1:66">
      <c r="A1570">
        <v>104026</v>
      </c>
      <c r="B1570" t="s">
        <v>368</v>
      </c>
      <c r="C1570" s="1">
        <v>43201211</v>
      </c>
      <c r="D1570" t="s">
        <v>369</v>
      </c>
      <c r="H1570" t="str">
        <f t="shared" si="207"/>
        <v>01948180649</v>
      </c>
      <c r="I1570" t="str">
        <f t="shared" si="207"/>
        <v>01948180649</v>
      </c>
      <c r="K1570" t="str">
        <f>""</f>
        <v/>
      </c>
      <c r="M1570" t="s">
        <v>68</v>
      </c>
      <c r="N1570" t="str">
        <f t="shared" si="208"/>
        <v>AZ2</v>
      </c>
      <c r="O1570" t="s">
        <v>370</v>
      </c>
      <c r="P1570" t="s">
        <v>75</v>
      </c>
      <c r="Q1570">
        <v>2016</v>
      </c>
      <c r="R1570" s="4">
        <v>42627</v>
      </c>
      <c r="S1570" s="2">
        <v>42627</v>
      </c>
      <c r="T1570" s="2">
        <v>42627</v>
      </c>
      <c r="U1570" s="4">
        <v>42687</v>
      </c>
      <c r="V1570" t="s">
        <v>71</v>
      </c>
      <c r="W1570" t="str">
        <f>"             040/154"</f>
        <v xml:space="preserve">             040/154</v>
      </c>
      <c r="X1570" s="1">
        <v>6302</v>
      </c>
      <c r="Y1570">
        <v>0</v>
      </c>
      <c r="Z1570" s="5">
        <v>6302</v>
      </c>
      <c r="AA1570" s="3">
        <v>95</v>
      </c>
      <c r="AB1570" s="5">
        <v>598690</v>
      </c>
      <c r="AC1570" s="1">
        <v>6302</v>
      </c>
      <c r="AD1570">
        <v>95</v>
      </c>
      <c r="AE1570" s="1">
        <v>598690</v>
      </c>
      <c r="AF1570">
        <v>0</v>
      </c>
      <c r="AJ1570">
        <v>0</v>
      </c>
      <c r="AK1570">
        <v>0</v>
      </c>
      <c r="AL1570">
        <v>0</v>
      </c>
      <c r="AM1570">
        <v>0</v>
      </c>
      <c r="AN1570">
        <v>0</v>
      </c>
      <c r="AO1570">
        <v>0</v>
      </c>
      <c r="AP1570" s="2">
        <v>42831</v>
      </c>
      <c r="AQ1570" t="s">
        <v>72</v>
      </c>
      <c r="AR1570" t="s">
        <v>72</v>
      </c>
      <c r="AS1570">
        <v>461</v>
      </c>
      <c r="AT1570" s="4">
        <v>42782</v>
      </c>
      <c r="AU1570" t="s">
        <v>73</v>
      </c>
      <c r="AV1570">
        <v>461</v>
      </c>
      <c r="AW1570" s="4">
        <v>42782</v>
      </c>
      <c r="BD1570">
        <v>0</v>
      </c>
      <c r="BN1570" t="s">
        <v>74</v>
      </c>
    </row>
    <row r="1571" spans="1:66">
      <c r="A1571">
        <v>104026</v>
      </c>
      <c r="B1571" t="s">
        <v>368</v>
      </c>
      <c r="C1571" s="1">
        <v>43201211</v>
      </c>
      <c r="D1571" t="s">
        <v>369</v>
      </c>
      <c r="H1571" t="str">
        <f t="shared" si="207"/>
        <v>01948180649</v>
      </c>
      <c r="I1571" t="str">
        <f t="shared" si="207"/>
        <v>01948180649</v>
      </c>
      <c r="K1571" t="str">
        <f>""</f>
        <v/>
      </c>
      <c r="M1571" t="s">
        <v>68</v>
      </c>
      <c r="N1571" t="str">
        <f t="shared" si="208"/>
        <v>AZ2</v>
      </c>
      <c r="O1571" t="s">
        <v>370</v>
      </c>
      <c r="P1571" t="s">
        <v>75</v>
      </c>
      <c r="Q1571">
        <v>2016</v>
      </c>
      <c r="R1571" s="4">
        <v>42628</v>
      </c>
      <c r="S1571" s="2">
        <v>42629</v>
      </c>
      <c r="T1571" s="2">
        <v>42628</v>
      </c>
      <c r="U1571" s="4">
        <v>42688</v>
      </c>
      <c r="V1571" t="s">
        <v>71</v>
      </c>
      <c r="W1571" t="str">
        <f>"             040/171"</f>
        <v xml:space="preserve">             040/171</v>
      </c>
      <c r="X1571" s="1">
        <v>5002</v>
      </c>
      <c r="Y1571">
        <v>0</v>
      </c>
      <c r="Z1571" s="5">
        <v>5002</v>
      </c>
      <c r="AA1571" s="3">
        <v>77</v>
      </c>
      <c r="AB1571" s="5">
        <v>385154</v>
      </c>
      <c r="AC1571" s="1">
        <v>5002</v>
      </c>
      <c r="AD1571">
        <v>77</v>
      </c>
      <c r="AE1571" s="1">
        <v>385154</v>
      </c>
      <c r="AF1571">
        <v>0</v>
      </c>
      <c r="AJ1571">
        <v>0</v>
      </c>
      <c r="AK1571">
        <v>0</v>
      </c>
      <c r="AL1571">
        <v>0</v>
      </c>
      <c r="AM1571">
        <v>0</v>
      </c>
      <c r="AN1571">
        <v>0</v>
      </c>
      <c r="AO1571">
        <v>0</v>
      </c>
      <c r="AP1571" s="2">
        <v>42831</v>
      </c>
      <c r="AQ1571" t="s">
        <v>72</v>
      </c>
      <c r="AR1571" t="s">
        <v>72</v>
      </c>
      <c r="AS1571">
        <v>151</v>
      </c>
      <c r="AT1571" s="4">
        <v>42765</v>
      </c>
      <c r="AU1571" t="s">
        <v>73</v>
      </c>
      <c r="AV1571">
        <v>151</v>
      </c>
      <c r="AW1571" s="4">
        <v>42765</v>
      </c>
      <c r="BD1571">
        <v>0</v>
      </c>
      <c r="BN1571" t="s">
        <v>74</v>
      </c>
    </row>
    <row r="1572" spans="1:66">
      <c r="A1572">
        <v>104026</v>
      </c>
      <c r="B1572" t="s">
        <v>368</v>
      </c>
      <c r="C1572" s="1">
        <v>43201211</v>
      </c>
      <c r="D1572" t="s">
        <v>369</v>
      </c>
      <c r="H1572" t="str">
        <f t="shared" si="207"/>
        <v>01948180649</v>
      </c>
      <c r="I1572" t="str">
        <f t="shared" si="207"/>
        <v>01948180649</v>
      </c>
      <c r="K1572" t="str">
        <f>""</f>
        <v/>
      </c>
      <c r="M1572" t="s">
        <v>68</v>
      </c>
      <c r="N1572" t="str">
        <f t="shared" si="208"/>
        <v>AZ2</v>
      </c>
      <c r="O1572" t="s">
        <v>370</v>
      </c>
      <c r="P1572" t="s">
        <v>75</v>
      </c>
      <c r="Q1572">
        <v>2016</v>
      </c>
      <c r="R1572" s="4">
        <v>42632</v>
      </c>
      <c r="S1572" s="2">
        <v>42632</v>
      </c>
      <c r="T1572" s="2">
        <v>42632</v>
      </c>
      <c r="U1572" s="4">
        <v>42692</v>
      </c>
      <c r="V1572" t="s">
        <v>71</v>
      </c>
      <c r="W1572" t="str">
        <f>"             040/177"</f>
        <v xml:space="preserve">             040/177</v>
      </c>
      <c r="X1572" s="1">
        <v>11323</v>
      </c>
      <c r="Y1572">
        <v>0</v>
      </c>
      <c r="Z1572" s="5">
        <v>11323</v>
      </c>
      <c r="AA1572" s="3">
        <v>90</v>
      </c>
      <c r="AB1572" s="5">
        <v>1019070</v>
      </c>
      <c r="AC1572" s="1">
        <v>11323</v>
      </c>
      <c r="AD1572">
        <v>90</v>
      </c>
      <c r="AE1572" s="1">
        <v>1019070</v>
      </c>
      <c r="AF1572">
        <v>0</v>
      </c>
      <c r="AJ1572">
        <v>0</v>
      </c>
      <c r="AK1572">
        <v>0</v>
      </c>
      <c r="AL1572">
        <v>0</v>
      </c>
      <c r="AM1572">
        <v>0</v>
      </c>
      <c r="AN1572">
        <v>0</v>
      </c>
      <c r="AO1572">
        <v>0</v>
      </c>
      <c r="AP1572" s="2">
        <v>42831</v>
      </c>
      <c r="AQ1572" t="s">
        <v>72</v>
      </c>
      <c r="AR1572" t="s">
        <v>72</v>
      </c>
      <c r="AS1572">
        <v>461</v>
      </c>
      <c r="AT1572" s="4">
        <v>42782</v>
      </c>
      <c r="AU1572" t="s">
        <v>73</v>
      </c>
      <c r="AV1572">
        <v>461</v>
      </c>
      <c r="AW1572" s="4">
        <v>42782</v>
      </c>
      <c r="BD1572">
        <v>0</v>
      </c>
      <c r="BN1572" t="s">
        <v>74</v>
      </c>
    </row>
    <row r="1573" spans="1:66">
      <c r="A1573">
        <v>104026</v>
      </c>
      <c r="B1573" t="s">
        <v>368</v>
      </c>
      <c r="C1573" s="1">
        <v>43201211</v>
      </c>
      <c r="D1573" t="s">
        <v>369</v>
      </c>
      <c r="H1573" t="str">
        <f t="shared" si="207"/>
        <v>01948180649</v>
      </c>
      <c r="I1573" t="str">
        <f t="shared" si="207"/>
        <v>01948180649</v>
      </c>
      <c r="K1573" t="str">
        <f>""</f>
        <v/>
      </c>
      <c r="M1573" t="s">
        <v>68</v>
      </c>
      <c r="N1573" t="str">
        <f t="shared" si="208"/>
        <v>AZ2</v>
      </c>
      <c r="O1573" t="s">
        <v>370</v>
      </c>
      <c r="P1573" t="s">
        <v>75</v>
      </c>
      <c r="Q1573">
        <v>2016</v>
      </c>
      <c r="R1573" s="4">
        <v>42636</v>
      </c>
      <c r="S1573" s="2">
        <v>42639</v>
      </c>
      <c r="T1573" s="2">
        <v>42636</v>
      </c>
      <c r="U1573" s="4">
        <v>42696</v>
      </c>
      <c r="V1573" t="s">
        <v>71</v>
      </c>
      <c r="W1573" t="str">
        <f>"             040/182"</f>
        <v xml:space="preserve">             040/182</v>
      </c>
      <c r="X1573" s="1">
        <v>1121.6400000000001</v>
      </c>
      <c r="Y1573">
        <v>0</v>
      </c>
      <c r="Z1573" s="5">
        <v>1121.6400000000001</v>
      </c>
      <c r="AA1573" s="3">
        <v>69</v>
      </c>
      <c r="AB1573" s="5">
        <v>77393.16</v>
      </c>
      <c r="AC1573" s="1">
        <v>1121.6400000000001</v>
      </c>
      <c r="AD1573">
        <v>69</v>
      </c>
      <c r="AE1573" s="1">
        <v>77393.16</v>
      </c>
      <c r="AF1573">
        <v>0</v>
      </c>
      <c r="AJ1573">
        <v>0</v>
      </c>
      <c r="AK1573">
        <v>0</v>
      </c>
      <c r="AL1573">
        <v>0</v>
      </c>
      <c r="AM1573">
        <v>0</v>
      </c>
      <c r="AN1573">
        <v>0</v>
      </c>
      <c r="AO1573">
        <v>0</v>
      </c>
      <c r="AP1573" s="2">
        <v>42831</v>
      </c>
      <c r="AQ1573" t="s">
        <v>72</v>
      </c>
      <c r="AR1573" t="s">
        <v>72</v>
      </c>
      <c r="AS1573">
        <v>151</v>
      </c>
      <c r="AT1573" s="4">
        <v>42765</v>
      </c>
      <c r="AU1573" t="s">
        <v>73</v>
      </c>
      <c r="AV1573">
        <v>151</v>
      </c>
      <c r="AW1573" s="4">
        <v>42765</v>
      </c>
      <c r="BD1573">
        <v>0</v>
      </c>
      <c r="BN1573" t="s">
        <v>74</v>
      </c>
    </row>
    <row r="1574" spans="1:66">
      <c r="A1574">
        <v>104026</v>
      </c>
      <c r="B1574" t="s">
        <v>368</v>
      </c>
      <c r="C1574" s="1">
        <v>43201211</v>
      </c>
      <c r="D1574" t="s">
        <v>369</v>
      </c>
      <c r="H1574" t="str">
        <f t="shared" si="207"/>
        <v>01948180649</v>
      </c>
      <c r="I1574" t="str">
        <f t="shared" si="207"/>
        <v>01948180649</v>
      </c>
      <c r="K1574" t="str">
        <f>""</f>
        <v/>
      </c>
      <c r="M1574" t="s">
        <v>68</v>
      </c>
      <c r="N1574" t="str">
        <f t="shared" si="208"/>
        <v>AZ2</v>
      </c>
      <c r="O1574" t="s">
        <v>370</v>
      </c>
      <c r="P1574" t="s">
        <v>75</v>
      </c>
      <c r="Q1574">
        <v>2016</v>
      </c>
      <c r="R1574" s="4">
        <v>42662</v>
      </c>
      <c r="S1574" s="2">
        <v>42662</v>
      </c>
      <c r="T1574" s="2">
        <v>42662</v>
      </c>
      <c r="U1574" s="4">
        <v>42722</v>
      </c>
      <c r="V1574" t="s">
        <v>71</v>
      </c>
      <c r="W1574" t="str">
        <f>"             040/192"</f>
        <v xml:space="preserve">             040/192</v>
      </c>
      <c r="X1574" s="1">
        <v>1432.54</v>
      </c>
      <c r="Y1574">
        <v>0</v>
      </c>
      <c r="Z1574" s="5">
        <v>1432.54</v>
      </c>
      <c r="AA1574" s="3">
        <v>43</v>
      </c>
      <c r="AB1574" s="5">
        <v>61599.22</v>
      </c>
      <c r="AC1574" s="1">
        <v>1432.54</v>
      </c>
      <c r="AD1574">
        <v>43</v>
      </c>
      <c r="AE1574" s="1">
        <v>61599.22</v>
      </c>
      <c r="AF1574">
        <v>0</v>
      </c>
      <c r="AJ1574">
        <v>0</v>
      </c>
      <c r="AK1574">
        <v>0</v>
      </c>
      <c r="AL1574">
        <v>0</v>
      </c>
      <c r="AM1574">
        <v>0</v>
      </c>
      <c r="AN1574">
        <v>0</v>
      </c>
      <c r="AO1574">
        <v>0</v>
      </c>
      <c r="AP1574" s="2">
        <v>42831</v>
      </c>
      <c r="AQ1574" t="s">
        <v>72</v>
      </c>
      <c r="AR1574" t="s">
        <v>72</v>
      </c>
      <c r="AS1574">
        <v>151</v>
      </c>
      <c r="AT1574" s="4">
        <v>42765</v>
      </c>
      <c r="AU1574" t="s">
        <v>73</v>
      </c>
      <c r="AV1574">
        <v>151</v>
      </c>
      <c r="AW1574" s="4">
        <v>42765</v>
      </c>
      <c r="BD1574">
        <v>0</v>
      </c>
      <c r="BN1574" t="s">
        <v>74</v>
      </c>
    </row>
    <row r="1575" spans="1:66">
      <c r="A1575">
        <v>104026</v>
      </c>
      <c r="B1575" t="s">
        <v>368</v>
      </c>
      <c r="C1575" s="1">
        <v>43201211</v>
      </c>
      <c r="D1575" t="s">
        <v>369</v>
      </c>
      <c r="H1575" t="str">
        <f t="shared" si="207"/>
        <v>01948180649</v>
      </c>
      <c r="I1575" t="str">
        <f t="shared" si="207"/>
        <v>01948180649</v>
      </c>
      <c r="K1575" t="str">
        <f>""</f>
        <v/>
      </c>
      <c r="M1575" t="s">
        <v>68</v>
      </c>
      <c r="N1575" t="str">
        <f t="shared" si="208"/>
        <v>AZ2</v>
      </c>
      <c r="O1575" t="s">
        <v>370</v>
      </c>
      <c r="P1575" t="s">
        <v>75</v>
      </c>
      <c r="Q1575">
        <v>2016</v>
      </c>
      <c r="R1575" s="4">
        <v>42720</v>
      </c>
      <c r="S1575" s="2">
        <v>42723</v>
      </c>
      <c r="T1575" s="2">
        <v>42720</v>
      </c>
      <c r="U1575" s="4">
        <v>42780</v>
      </c>
      <c r="V1575" t="s">
        <v>71</v>
      </c>
      <c r="W1575" t="str">
        <f>"             040/218"</f>
        <v xml:space="preserve">             040/218</v>
      </c>
      <c r="X1575">
        <v>72.819999999999993</v>
      </c>
      <c r="Y1575">
        <v>0</v>
      </c>
      <c r="Z1575" s="5">
        <v>72.819999999999993</v>
      </c>
      <c r="AA1575" s="3">
        <v>-15</v>
      </c>
      <c r="AB1575" s="5">
        <v>-1092.3</v>
      </c>
      <c r="AC1575">
        <v>72.819999999999993</v>
      </c>
      <c r="AD1575">
        <v>-15</v>
      </c>
      <c r="AE1575" s="1">
        <v>-1092.3</v>
      </c>
      <c r="AF1575">
        <v>0</v>
      </c>
      <c r="AJ1575">
        <v>0</v>
      </c>
      <c r="AK1575">
        <v>0</v>
      </c>
      <c r="AL1575">
        <v>0</v>
      </c>
      <c r="AM1575">
        <v>0</v>
      </c>
      <c r="AN1575">
        <v>0</v>
      </c>
      <c r="AO1575">
        <v>0</v>
      </c>
      <c r="AP1575" s="2">
        <v>42831</v>
      </c>
      <c r="AQ1575" t="s">
        <v>72</v>
      </c>
      <c r="AR1575" t="s">
        <v>72</v>
      </c>
      <c r="AS1575">
        <v>151</v>
      </c>
      <c r="AT1575" s="4">
        <v>42765</v>
      </c>
      <c r="AV1575">
        <v>151</v>
      </c>
      <c r="AW1575" s="4">
        <v>42765</v>
      </c>
      <c r="BD1575">
        <v>0</v>
      </c>
      <c r="BN1575" t="s">
        <v>74</v>
      </c>
    </row>
    <row r="1576" spans="1:66">
      <c r="A1576">
        <v>104026</v>
      </c>
      <c r="B1576" t="s">
        <v>368</v>
      </c>
      <c r="C1576" s="1">
        <v>43201211</v>
      </c>
      <c r="D1576" t="s">
        <v>369</v>
      </c>
      <c r="H1576" t="str">
        <f t="shared" si="207"/>
        <v>01948180649</v>
      </c>
      <c r="I1576" t="str">
        <f t="shared" si="207"/>
        <v>01948180649</v>
      </c>
      <c r="K1576" t="str">
        <f>""</f>
        <v/>
      </c>
      <c r="M1576" t="s">
        <v>68</v>
      </c>
      <c r="N1576" t="str">
        <f t="shared" si="208"/>
        <v>AZ2</v>
      </c>
      <c r="O1576" t="s">
        <v>370</v>
      </c>
      <c r="P1576" t="s">
        <v>75</v>
      </c>
      <c r="Q1576">
        <v>2016</v>
      </c>
      <c r="R1576" s="4">
        <v>42735</v>
      </c>
      <c r="S1576" s="2">
        <v>42765</v>
      </c>
      <c r="T1576" s="2">
        <v>42765</v>
      </c>
      <c r="U1576" s="4">
        <v>42825</v>
      </c>
      <c r="V1576" t="s">
        <v>71</v>
      </c>
      <c r="W1576" t="str">
        <f>"             040/243"</f>
        <v xml:space="preserve">             040/243</v>
      </c>
      <c r="X1576" s="1">
        <v>1432.54</v>
      </c>
      <c r="Y1576">
        <v>0</v>
      </c>
      <c r="Z1576" s="5">
        <v>1432.54</v>
      </c>
      <c r="AA1576" s="3">
        <v>-43</v>
      </c>
      <c r="AB1576" s="5">
        <v>-61599.22</v>
      </c>
      <c r="AC1576" s="1">
        <v>1432.54</v>
      </c>
      <c r="AD1576">
        <v>-43</v>
      </c>
      <c r="AE1576" s="1">
        <v>-61599.22</v>
      </c>
      <c r="AF1576">
        <v>0</v>
      </c>
      <c r="AJ1576">
        <v>0</v>
      </c>
      <c r="AK1576" s="1">
        <v>1432.54</v>
      </c>
      <c r="AL1576">
        <v>0</v>
      </c>
      <c r="AM1576">
        <v>0</v>
      </c>
      <c r="AN1576" s="1">
        <v>1432.54</v>
      </c>
      <c r="AO1576">
        <v>0</v>
      </c>
      <c r="AP1576" s="2">
        <v>42831</v>
      </c>
      <c r="AQ1576" t="s">
        <v>72</v>
      </c>
      <c r="AR1576" t="s">
        <v>72</v>
      </c>
      <c r="AS1576">
        <v>461</v>
      </c>
      <c r="AT1576" s="4">
        <v>42782</v>
      </c>
      <c r="AV1576">
        <v>461</v>
      </c>
      <c r="AW1576" s="4">
        <v>42782</v>
      </c>
      <c r="BD1576">
        <v>0</v>
      </c>
      <c r="BN1576" t="s">
        <v>74</v>
      </c>
    </row>
    <row r="1577" spans="1:66">
      <c r="A1577">
        <v>104026</v>
      </c>
      <c r="B1577" t="s">
        <v>368</v>
      </c>
      <c r="C1577" s="1">
        <v>43201211</v>
      </c>
      <c r="D1577" t="s">
        <v>369</v>
      </c>
      <c r="H1577" t="str">
        <f t="shared" si="207"/>
        <v>01948180649</v>
      </c>
      <c r="I1577" t="str">
        <f t="shared" si="207"/>
        <v>01948180649</v>
      </c>
      <c r="K1577" t="str">
        <f>""</f>
        <v/>
      </c>
      <c r="M1577" t="s">
        <v>68</v>
      </c>
      <c r="N1577" t="str">
        <f t="shared" si="208"/>
        <v>AZ2</v>
      </c>
      <c r="O1577" t="s">
        <v>370</v>
      </c>
      <c r="P1577" t="s">
        <v>75</v>
      </c>
      <c r="Q1577">
        <v>2016</v>
      </c>
      <c r="R1577" s="4">
        <v>42735</v>
      </c>
      <c r="S1577" s="2">
        <v>42765</v>
      </c>
      <c r="T1577" s="2">
        <v>42765</v>
      </c>
      <c r="U1577" s="4">
        <v>42825</v>
      </c>
      <c r="V1577" t="s">
        <v>71</v>
      </c>
      <c r="W1577" t="str">
        <f>"             040/244"</f>
        <v xml:space="preserve">             040/244</v>
      </c>
      <c r="X1577" s="1">
        <v>1432.54</v>
      </c>
      <c r="Y1577">
        <v>0</v>
      </c>
      <c r="Z1577" s="5">
        <v>1432.54</v>
      </c>
      <c r="AA1577" s="3">
        <v>-43</v>
      </c>
      <c r="AB1577" s="5">
        <v>-61599.22</v>
      </c>
      <c r="AC1577" s="1">
        <v>1432.54</v>
      </c>
      <c r="AD1577">
        <v>-43</v>
      </c>
      <c r="AE1577" s="1">
        <v>-61599.22</v>
      </c>
      <c r="AF1577">
        <v>0</v>
      </c>
      <c r="AJ1577">
        <v>0</v>
      </c>
      <c r="AK1577" s="1">
        <v>1432.54</v>
      </c>
      <c r="AL1577">
        <v>0</v>
      </c>
      <c r="AM1577">
        <v>0</v>
      </c>
      <c r="AN1577" s="1">
        <v>1432.54</v>
      </c>
      <c r="AO1577">
        <v>0</v>
      </c>
      <c r="AP1577" s="2">
        <v>42831</v>
      </c>
      <c r="AQ1577" t="s">
        <v>72</v>
      </c>
      <c r="AR1577" t="s">
        <v>72</v>
      </c>
      <c r="AS1577">
        <v>461</v>
      </c>
      <c r="AT1577" s="4">
        <v>42782</v>
      </c>
      <c r="AV1577">
        <v>461</v>
      </c>
      <c r="AW1577" s="4">
        <v>42782</v>
      </c>
      <c r="BD1577">
        <v>0</v>
      </c>
      <c r="BN1577" t="s">
        <v>74</v>
      </c>
    </row>
    <row r="1578" spans="1:66">
      <c r="A1578">
        <v>104027</v>
      </c>
      <c r="B1578" t="s">
        <v>371</v>
      </c>
      <c r="C1578" s="1">
        <v>43300101</v>
      </c>
      <c r="D1578" t="s">
        <v>67</v>
      </c>
      <c r="H1578" t="str">
        <f t="shared" ref="H1578:I1586" si="209">"01138380629"</f>
        <v>01138380629</v>
      </c>
      <c r="I1578" t="str">
        <f t="shared" si="209"/>
        <v>01138380629</v>
      </c>
      <c r="K1578" t="str">
        <f>""</f>
        <v/>
      </c>
      <c r="M1578" t="s">
        <v>68</v>
      </c>
      <c r="N1578" t="str">
        <f t="shared" ref="N1578:N1641" si="210">"FOR"</f>
        <v>FOR</v>
      </c>
      <c r="O1578" t="s">
        <v>69</v>
      </c>
      <c r="P1578" t="s">
        <v>75</v>
      </c>
      <c r="Q1578">
        <v>2016</v>
      </c>
      <c r="R1578" s="4">
        <v>42444</v>
      </c>
      <c r="S1578" s="2">
        <v>42445</v>
      </c>
      <c r="T1578" s="2">
        <v>42444</v>
      </c>
      <c r="U1578" s="4">
        <v>42504</v>
      </c>
      <c r="V1578" t="s">
        <v>71</v>
      </c>
      <c r="W1578" t="str">
        <f>"               14/PA"</f>
        <v xml:space="preserve">               14/PA</v>
      </c>
      <c r="X1578">
        <v>805.1</v>
      </c>
      <c r="Y1578">
        <v>0</v>
      </c>
      <c r="Z1578" s="5">
        <v>659.92</v>
      </c>
      <c r="AA1578" s="3">
        <v>271</v>
      </c>
      <c r="AB1578" s="5">
        <v>178838.32</v>
      </c>
      <c r="AC1578">
        <v>659.92</v>
      </c>
      <c r="AD1578">
        <v>271</v>
      </c>
      <c r="AE1578" s="1">
        <v>178838.32</v>
      </c>
      <c r="AF1578">
        <v>0</v>
      </c>
      <c r="AJ1578">
        <v>0</v>
      </c>
      <c r="AK1578">
        <v>0</v>
      </c>
      <c r="AL1578">
        <v>0</v>
      </c>
      <c r="AM1578">
        <v>0</v>
      </c>
      <c r="AN1578">
        <v>0</v>
      </c>
      <c r="AO1578">
        <v>0</v>
      </c>
      <c r="AP1578" s="2">
        <v>42831</v>
      </c>
      <c r="AQ1578" t="s">
        <v>72</v>
      </c>
      <c r="AR1578" t="s">
        <v>72</v>
      </c>
      <c r="AS1578">
        <v>366</v>
      </c>
      <c r="AT1578" s="4">
        <v>42775</v>
      </c>
      <c r="AU1578" t="s">
        <v>73</v>
      </c>
      <c r="AV1578">
        <v>366</v>
      </c>
      <c r="AW1578" s="4">
        <v>42775</v>
      </c>
      <c r="BD1578">
        <v>0</v>
      </c>
      <c r="BN1578" t="s">
        <v>74</v>
      </c>
    </row>
    <row r="1579" spans="1:66">
      <c r="A1579">
        <v>104027</v>
      </c>
      <c r="B1579" t="s">
        <v>371</v>
      </c>
      <c r="C1579" s="1">
        <v>43300101</v>
      </c>
      <c r="D1579" t="s">
        <v>67</v>
      </c>
      <c r="H1579" t="str">
        <f t="shared" si="209"/>
        <v>01138380629</v>
      </c>
      <c r="I1579" t="str">
        <f t="shared" si="209"/>
        <v>01138380629</v>
      </c>
      <c r="K1579" t="str">
        <f>""</f>
        <v/>
      </c>
      <c r="M1579" t="s">
        <v>68</v>
      </c>
      <c r="N1579" t="str">
        <f t="shared" si="210"/>
        <v>FOR</v>
      </c>
      <c r="O1579" t="s">
        <v>69</v>
      </c>
      <c r="P1579" t="s">
        <v>75</v>
      </c>
      <c r="Q1579">
        <v>2016</v>
      </c>
      <c r="R1579" s="4">
        <v>42444</v>
      </c>
      <c r="S1579" s="2">
        <v>42445</v>
      </c>
      <c r="T1579" s="2">
        <v>42444</v>
      </c>
      <c r="U1579" s="4">
        <v>42504</v>
      </c>
      <c r="V1579" t="s">
        <v>71</v>
      </c>
      <c r="W1579" t="str">
        <f>"               15/PA"</f>
        <v xml:space="preserve">               15/PA</v>
      </c>
      <c r="X1579" s="1">
        <v>1244.03</v>
      </c>
      <c r="Y1579">
        <v>0</v>
      </c>
      <c r="Z1579" s="5">
        <v>1019.7</v>
      </c>
      <c r="AA1579" s="3">
        <v>271</v>
      </c>
      <c r="AB1579" s="5">
        <v>276338.7</v>
      </c>
      <c r="AC1579" s="1">
        <v>1019.7</v>
      </c>
      <c r="AD1579">
        <v>271</v>
      </c>
      <c r="AE1579" s="1">
        <v>276338.7</v>
      </c>
      <c r="AF1579">
        <v>0</v>
      </c>
      <c r="AJ1579">
        <v>0</v>
      </c>
      <c r="AK1579">
        <v>0</v>
      </c>
      <c r="AL1579">
        <v>0</v>
      </c>
      <c r="AM1579">
        <v>0</v>
      </c>
      <c r="AN1579">
        <v>0</v>
      </c>
      <c r="AO1579">
        <v>0</v>
      </c>
      <c r="AP1579" s="2">
        <v>42831</v>
      </c>
      <c r="AQ1579" t="s">
        <v>72</v>
      </c>
      <c r="AR1579" t="s">
        <v>72</v>
      </c>
      <c r="AS1579">
        <v>366</v>
      </c>
      <c r="AT1579" s="4">
        <v>42775</v>
      </c>
      <c r="AU1579" t="s">
        <v>73</v>
      </c>
      <c r="AV1579">
        <v>366</v>
      </c>
      <c r="AW1579" s="4">
        <v>42775</v>
      </c>
      <c r="BD1579">
        <v>0</v>
      </c>
      <c r="BN1579" t="s">
        <v>74</v>
      </c>
    </row>
    <row r="1580" spans="1:66">
      <c r="A1580">
        <v>104027</v>
      </c>
      <c r="B1580" t="s">
        <v>371</v>
      </c>
      <c r="C1580" s="1">
        <v>43300101</v>
      </c>
      <c r="D1580" t="s">
        <v>67</v>
      </c>
      <c r="H1580" t="str">
        <f t="shared" si="209"/>
        <v>01138380629</v>
      </c>
      <c r="I1580" t="str">
        <f t="shared" si="209"/>
        <v>01138380629</v>
      </c>
      <c r="K1580" t="str">
        <f>""</f>
        <v/>
      </c>
      <c r="M1580" t="s">
        <v>68</v>
      </c>
      <c r="N1580" t="str">
        <f t="shared" si="210"/>
        <v>FOR</v>
      </c>
      <c r="O1580" t="s">
        <v>69</v>
      </c>
      <c r="P1580" t="s">
        <v>75</v>
      </c>
      <c r="Q1580">
        <v>2016</v>
      </c>
      <c r="R1580" s="4">
        <v>42451</v>
      </c>
      <c r="S1580" s="2">
        <v>42461</v>
      </c>
      <c r="T1580" s="2">
        <v>42451</v>
      </c>
      <c r="U1580" s="4">
        <v>42511</v>
      </c>
      <c r="V1580" t="s">
        <v>71</v>
      </c>
      <c r="W1580" t="str">
        <f>"               16/PA"</f>
        <v xml:space="preserve">               16/PA</v>
      </c>
      <c r="X1580" s="1">
        <v>2992.62</v>
      </c>
      <c r="Y1580">
        <v>0</v>
      </c>
      <c r="Z1580" s="5">
        <v>2452.9699999999998</v>
      </c>
      <c r="AA1580" s="3">
        <v>264</v>
      </c>
      <c r="AB1580" s="5">
        <v>647584.07999999996</v>
      </c>
      <c r="AC1580" s="1">
        <v>2452.9699999999998</v>
      </c>
      <c r="AD1580">
        <v>264</v>
      </c>
      <c r="AE1580" s="1">
        <v>647584.07999999996</v>
      </c>
      <c r="AF1580">
        <v>0</v>
      </c>
      <c r="AJ1580">
        <v>0</v>
      </c>
      <c r="AK1580">
        <v>0</v>
      </c>
      <c r="AL1580">
        <v>0</v>
      </c>
      <c r="AM1580">
        <v>0</v>
      </c>
      <c r="AN1580">
        <v>0</v>
      </c>
      <c r="AO1580">
        <v>0</v>
      </c>
      <c r="AP1580" s="2">
        <v>42831</v>
      </c>
      <c r="AQ1580" t="s">
        <v>72</v>
      </c>
      <c r="AR1580" t="s">
        <v>72</v>
      </c>
      <c r="AS1580">
        <v>366</v>
      </c>
      <c r="AT1580" s="4">
        <v>42775</v>
      </c>
      <c r="AU1580" t="s">
        <v>73</v>
      </c>
      <c r="AV1580">
        <v>366</v>
      </c>
      <c r="AW1580" s="4">
        <v>42775</v>
      </c>
      <c r="BD1580">
        <v>0</v>
      </c>
      <c r="BN1580" t="s">
        <v>74</v>
      </c>
    </row>
    <row r="1581" spans="1:66">
      <c r="A1581">
        <v>104027</v>
      </c>
      <c r="B1581" t="s">
        <v>371</v>
      </c>
      <c r="C1581" s="1">
        <v>43300101</v>
      </c>
      <c r="D1581" t="s">
        <v>67</v>
      </c>
      <c r="H1581" t="str">
        <f t="shared" si="209"/>
        <v>01138380629</v>
      </c>
      <c r="I1581" t="str">
        <f t="shared" si="209"/>
        <v>01138380629</v>
      </c>
      <c r="K1581" t="str">
        <f>""</f>
        <v/>
      </c>
      <c r="M1581" t="s">
        <v>68</v>
      </c>
      <c r="N1581" t="str">
        <f t="shared" si="210"/>
        <v>FOR</v>
      </c>
      <c r="O1581" t="s">
        <v>69</v>
      </c>
      <c r="P1581" t="s">
        <v>75</v>
      </c>
      <c r="Q1581">
        <v>2016</v>
      </c>
      <c r="R1581" s="4">
        <v>42464</v>
      </c>
      <c r="S1581" s="2">
        <v>42465</v>
      </c>
      <c r="T1581" s="2">
        <v>42464</v>
      </c>
      <c r="U1581" s="4">
        <v>42524</v>
      </c>
      <c r="V1581" t="s">
        <v>71</v>
      </c>
      <c r="W1581" t="str">
        <f>"               17/PA"</f>
        <v xml:space="preserve">               17/PA</v>
      </c>
      <c r="X1581" s="1">
        <v>34770</v>
      </c>
      <c r="Y1581">
        <v>0</v>
      </c>
      <c r="Z1581" s="5">
        <v>28500</v>
      </c>
      <c r="AA1581" s="3">
        <v>251</v>
      </c>
      <c r="AB1581" s="5">
        <v>7153500</v>
      </c>
      <c r="AC1581" s="1">
        <v>28500</v>
      </c>
      <c r="AD1581">
        <v>251</v>
      </c>
      <c r="AE1581" s="1">
        <v>7153500</v>
      </c>
      <c r="AF1581">
        <v>0</v>
      </c>
      <c r="AJ1581">
        <v>0</v>
      </c>
      <c r="AK1581">
        <v>0</v>
      </c>
      <c r="AL1581">
        <v>0</v>
      </c>
      <c r="AM1581">
        <v>0</v>
      </c>
      <c r="AN1581">
        <v>0</v>
      </c>
      <c r="AO1581">
        <v>0</v>
      </c>
      <c r="AP1581" s="2">
        <v>42831</v>
      </c>
      <c r="AQ1581" t="s">
        <v>72</v>
      </c>
      <c r="AR1581" t="s">
        <v>72</v>
      </c>
      <c r="AS1581">
        <v>366</v>
      </c>
      <c r="AT1581" s="4">
        <v>42775</v>
      </c>
      <c r="AU1581" t="s">
        <v>73</v>
      </c>
      <c r="AV1581">
        <v>366</v>
      </c>
      <c r="AW1581" s="4">
        <v>42775</v>
      </c>
      <c r="BD1581">
        <v>0</v>
      </c>
      <c r="BN1581" t="s">
        <v>74</v>
      </c>
    </row>
    <row r="1582" spans="1:66">
      <c r="A1582">
        <v>104027</v>
      </c>
      <c r="B1582" t="s">
        <v>371</v>
      </c>
      <c r="C1582" s="1">
        <v>43300101</v>
      </c>
      <c r="D1582" t="s">
        <v>67</v>
      </c>
      <c r="H1582" t="str">
        <f t="shared" si="209"/>
        <v>01138380629</v>
      </c>
      <c r="I1582" t="str">
        <f t="shared" si="209"/>
        <v>01138380629</v>
      </c>
      <c r="K1582" t="str">
        <f>""</f>
        <v/>
      </c>
      <c r="M1582" t="s">
        <v>68</v>
      </c>
      <c r="N1582" t="str">
        <f t="shared" si="210"/>
        <v>FOR</v>
      </c>
      <c r="O1582" t="s">
        <v>69</v>
      </c>
      <c r="P1582" t="s">
        <v>75</v>
      </c>
      <c r="Q1582">
        <v>2016</v>
      </c>
      <c r="R1582" s="4">
        <v>42493</v>
      </c>
      <c r="S1582" s="2">
        <v>42495</v>
      </c>
      <c r="T1582" s="2">
        <v>42493</v>
      </c>
      <c r="U1582" s="4">
        <v>42553</v>
      </c>
      <c r="V1582" t="s">
        <v>71</v>
      </c>
      <c r="W1582" t="str">
        <f>"               19/PA"</f>
        <v xml:space="preserve">               19/PA</v>
      </c>
      <c r="X1582" s="1">
        <v>3440.4</v>
      </c>
      <c r="Y1582">
        <v>0</v>
      </c>
      <c r="Z1582" s="5">
        <v>2820</v>
      </c>
      <c r="AA1582" s="3">
        <v>242</v>
      </c>
      <c r="AB1582" s="5">
        <v>682440</v>
      </c>
      <c r="AC1582" s="1">
        <v>2820</v>
      </c>
      <c r="AD1582">
        <v>242</v>
      </c>
      <c r="AE1582" s="1">
        <v>682440</v>
      </c>
      <c r="AF1582">
        <v>620.4</v>
      </c>
      <c r="AJ1582">
        <v>0</v>
      </c>
      <c r="AK1582">
        <v>0</v>
      </c>
      <c r="AL1582">
        <v>0</v>
      </c>
      <c r="AM1582">
        <v>0</v>
      </c>
      <c r="AN1582">
        <v>0</v>
      </c>
      <c r="AO1582">
        <v>0</v>
      </c>
      <c r="AP1582" s="2">
        <v>42831</v>
      </c>
      <c r="AQ1582" t="s">
        <v>72</v>
      </c>
      <c r="AR1582" t="s">
        <v>72</v>
      </c>
      <c r="AS1582">
        <v>648</v>
      </c>
      <c r="AT1582" s="4">
        <v>42795</v>
      </c>
      <c r="AU1582" t="s">
        <v>73</v>
      </c>
      <c r="AV1582">
        <v>648</v>
      </c>
      <c r="AW1582" s="4">
        <v>42795</v>
      </c>
      <c r="BD1582">
        <v>620.4</v>
      </c>
      <c r="BN1582" t="s">
        <v>74</v>
      </c>
    </row>
    <row r="1583" spans="1:66">
      <c r="A1583">
        <v>104027</v>
      </c>
      <c r="B1583" t="s">
        <v>371</v>
      </c>
      <c r="C1583" s="1">
        <v>43300101</v>
      </c>
      <c r="D1583" t="s">
        <v>67</v>
      </c>
      <c r="H1583" t="str">
        <f t="shared" si="209"/>
        <v>01138380629</v>
      </c>
      <c r="I1583" t="str">
        <f t="shared" si="209"/>
        <v>01138380629</v>
      </c>
      <c r="K1583" t="str">
        <f>""</f>
        <v/>
      </c>
      <c r="M1583" t="s">
        <v>68</v>
      </c>
      <c r="N1583" t="str">
        <f t="shared" si="210"/>
        <v>FOR</v>
      </c>
      <c r="O1583" t="s">
        <v>69</v>
      </c>
      <c r="P1583" t="s">
        <v>75</v>
      </c>
      <c r="Q1583">
        <v>2016</v>
      </c>
      <c r="R1583" s="4">
        <v>42520</v>
      </c>
      <c r="S1583" s="2">
        <v>42521</v>
      </c>
      <c r="T1583" s="2">
        <v>42520</v>
      </c>
      <c r="U1583" s="4">
        <v>42580</v>
      </c>
      <c r="V1583" t="s">
        <v>71</v>
      </c>
      <c r="W1583" t="str">
        <f>"               21/PA"</f>
        <v xml:space="preserve">               21/PA</v>
      </c>
      <c r="X1583" s="1">
        <v>2922.63</v>
      </c>
      <c r="Y1583">
        <v>0</v>
      </c>
      <c r="Z1583" s="5">
        <v>2395.6</v>
      </c>
      <c r="AA1583" s="3">
        <v>215</v>
      </c>
      <c r="AB1583" s="5">
        <v>515054</v>
      </c>
      <c r="AC1583" s="1">
        <v>2395.6</v>
      </c>
      <c r="AD1583">
        <v>215</v>
      </c>
      <c r="AE1583" s="1">
        <v>515054</v>
      </c>
      <c r="AF1583">
        <v>527.03</v>
      </c>
      <c r="AJ1583">
        <v>0</v>
      </c>
      <c r="AK1583">
        <v>0</v>
      </c>
      <c r="AL1583">
        <v>0</v>
      </c>
      <c r="AM1583">
        <v>0</v>
      </c>
      <c r="AN1583">
        <v>0</v>
      </c>
      <c r="AO1583">
        <v>0</v>
      </c>
      <c r="AP1583" s="2">
        <v>42831</v>
      </c>
      <c r="AQ1583" t="s">
        <v>72</v>
      </c>
      <c r="AR1583" t="s">
        <v>72</v>
      </c>
      <c r="AS1583">
        <v>648</v>
      </c>
      <c r="AT1583" s="4">
        <v>42795</v>
      </c>
      <c r="AU1583" t="s">
        <v>73</v>
      </c>
      <c r="AV1583">
        <v>648</v>
      </c>
      <c r="AW1583" s="4">
        <v>42795</v>
      </c>
      <c r="BD1583">
        <v>527.03</v>
      </c>
      <c r="BN1583" t="s">
        <v>74</v>
      </c>
    </row>
    <row r="1584" spans="1:66">
      <c r="A1584">
        <v>104027</v>
      </c>
      <c r="B1584" t="s">
        <v>371</v>
      </c>
      <c r="C1584" s="1">
        <v>43300101</v>
      </c>
      <c r="D1584" t="s">
        <v>67</v>
      </c>
      <c r="H1584" t="str">
        <f t="shared" si="209"/>
        <v>01138380629</v>
      </c>
      <c r="I1584" t="str">
        <f t="shared" si="209"/>
        <v>01138380629</v>
      </c>
      <c r="K1584" t="str">
        <f>""</f>
        <v/>
      </c>
      <c r="M1584" t="s">
        <v>68</v>
      </c>
      <c r="N1584" t="str">
        <f t="shared" si="210"/>
        <v>FOR</v>
      </c>
      <c r="O1584" t="s">
        <v>69</v>
      </c>
      <c r="P1584" t="s">
        <v>75</v>
      </c>
      <c r="Q1584">
        <v>2016</v>
      </c>
      <c r="R1584" s="4">
        <v>42520</v>
      </c>
      <c r="S1584" s="2">
        <v>42521</v>
      </c>
      <c r="T1584" s="2">
        <v>42520</v>
      </c>
      <c r="U1584" s="4">
        <v>42580</v>
      </c>
      <c r="V1584" t="s">
        <v>71</v>
      </c>
      <c r="W1584" t="str">
        <f>"               22/PA"</f>
        <v xml:space="preserve">               22/PA</v>
      </c>
      <c r="X1584" s="1">
        <v>2922.63</v>
      </c>
      <c r="Y1584">
        <v>0</v>
      </c>
      <c r="Z1584" s="5">
        <v>2395.6</v>
      </c>
      <c r="AA1584" s="3">
        <v>215</v>
      </c>
      <c r="AB1584" s="5">
        <v>515054</v>
      </c>
      <c r="AC1584" s="1">
        <v>2395.6</v>
      </c>
      <c r="AD1584">
        <v>215</v>
      </c>
      <c r="AE1584" s="1">
        <v>515054</v>
      </c>
      <c r="AF1584">
        <v>527.03</v>
      </c>
      <c r="AJ1584">
        <v>0</v>
      </c>
      <c r="AK1584">
        <v>0</v>
      </c>
      <c r="AL1584">
        <v>0</v>
      </c>
      <c r="AM1584">
        <v>0</v>
      </c>
      <c r="AN1584">
        <v>0</v>
      </c>
      <c r="AO1584">
        <v>0</v>
      </c>
      <c r="AP1584" s="2">
        <v>42831</v>
      </c>
      <c r="AQ1584" t="s">
        <v>72</v>
      </c>
      <c r="AR1584" t="s">
        <v>72</v>
      </c>
      <c r="AS1584">
        <v>648</v>
      </c>
      <c r="AT1584" s="4">
        <v>42795</v>
      </c>
      <c r="AU1584" t="s">
        <v>73</v>
      </c>
      <c r="AV1584">
        <v>648</v>
      </c>
      <c r="AW1584" s="4">
        <v>42795</v>
      </c>
      <c r="BD1584">
        <v>527.03</v>
      </c>
      <c r="BN1584" t="s">
        <v>74</v>
      </c>
    </row>
    <row r="1585" spans="1:66">
      <c r="A1585">
        <v>104027</v>
      </c>
      <c r="B1585" t="s">
        <v>371</v>
      </c>
      <c r="C1585" s="1">
        <v>43300101</v>
      </c>
      <c r="D1585" t="s">
        <v>67</v>
      </c>
      <c r="H1585" t="str">
        <f t="shared" si="209"/>
        <v>01138380629</v>
      </c>
      <c r="I1585" t="str">
        <f t="shared" si="209"/>
        <v>01138380629</v>
      </c>
      <c r="K1585" t="str">
        <f>""</f>
        <v/>
      </c>
      <c r="M1585" t="s">
        <v>68</v>
      </c>
      <c r="N1585" t="str">
        <f t="shared" si="210"/>
        <v>FOR</v>
      </c>
      <c r="O1585" t="s">
        <v>69</v>
      </c>
      <c r="P1585" t="s">
        <v>75</v>
      </c>
      <c r="Q1585">
        <v>2016</v>
      </c>
      <c r="R1585" s="4">
        <v>42529</v>
      </c>
      <c r="S1585" s="2">
        <v>42530</v>
      </c>
      <c r="T1585" s="2">
        <v>42529</v>
      </c>
      <c r="U1585" s="4">
        <v>42589</v>
      </c>
      <c r="V1585" t="s">
        <v>71</v>
      </c>
      <c r="W1585" t="str">
        <f>"               23/PA"</f>
        <v xml:space="preserve">               23/PA</v>
      </c>
      <c r="X1585" s="1">
        <v>2695.41</v>
      </c>
      <c r="Y1585">
        <v>0</v>
      </c>
      <c r="Z1585" s="5">
        <v>2209.35</v>
      </c>
      <c r="AA1585" s="3">
        <v>206</v>
      </c>
      <c r="AB1585" s="5">
        <v>455126.1</v>
      </c>
      <c r="AC1585" s="1">
        <v>2209.35</v>
      </c>
      <c r="AD1585">
        <v>206</v>
      </c>
      <c r="AE1585" s="1">
        <v>455126.1</v>
      </c>
      <c r="AF1585">
        <v>486.06</v>
      </c>
      <c r="AJ1585">
        <v>0</v>
      </c>
      <c r="AK1585">
        <v>0</v>
      </c>
      <c r="AL1585">
        <v>0</v>
      </c>
      <c r="AM1585">
        <v>0</v>
      </c>
      <c r="AN1585">
        <v>0</v>
      </c>
      <c r="AO1585">
        <v>0</v>
      </c>
      <c r="AP1585" s="2">
        <v>42831</v>
      </c>
      <c r="AQ1585" t="s">
        <v>72</v>
      </c>
      <c r="AR1585" t="s">
        <v>72</v>
      </c>
      <c r="AS1585">
        <v>648</v>
      </c>
      <c r="AT1585" s="4">
        <v>42795</v>
      </c>
      <c r="AU1585" t="s">
        <v>73</v>
      </c>
      <c r="AV1585">
        <v>648</v>
      </c>
      <c r="AW1585" s="4">
        <v>42795</v>
      </c>
      <c r="BD1585">
        <v>486.06</v>
      </c>
      <c r="BN1585" t="s">
        <v>74</v>
      </c>
    </row>
    <row r="1586" spans="1:66">
      <c r="A1586">
        <v>104027</v>
      </c>
      <c r="B1586" t="s">
        <v>371</v>
      </c>
      <c r="C1586" s="1">
        <v>43300101</v>
      </c>
      <c r="D1586" t="s">
        <v>67</v>
      </c>
      <c r="H1586" t="str">
        <f t="shared" si="209"/>
        <v>01138380629</v>
      </c>
      <c r="I1586" t="str">
        <f t="shared" si="209"/>
        <v>01138380629</v>
      </c>
      <c r="K1586" t="str">
        <f>""</f>
        <v/>
      </c>
      <c r="M1586" t="s">
        <v>68</v>
      </c>
      <c r="N1586" t="str">
        <f t="shared" si="210"/>
        <v>FOR</v>
      </c>
      <c r="O1586" t="s">
        <v>69</v>
      </c>
      <c r="P1586" t="s">
        <v>75</v>
      </c>
      <c r="Q1586">
        <v>2016</v>
      </c>
      <c r="R1586" s="4">
        <v>42529</v>
      </c>
      <c r="S1586" s="2">
        <v>42530</v>
      </c>
      <c r="T1586" s="2">
        <v>42529</v>
      </c>
      <c r="U1586" s="4">
        <v>42589</v>
      </c>
      <c r="V1586" t="s">
        <v>71</v>
      </c>
      <c r="W1586" t="str">
        <f>"               24/PA"</f>
        <v xml:space="preserve">               24/PA</v>
      </c>
      <c r="X1586" s="1">
        <v>1220</v>
      </c>
      <c r="Y1586">
        <v>0</v>
      </c>
      <c r="Z1586" s="5">
        <v>1000</v>
      </c>
      <c r="AA1586" s="3">
        <v>206</v>
      </c>
      <c r="AB1586" s="5">
        <v>206000</v>
      </c>
      <c r="AC1586" s="1">
        <v>1000</v>
      </c>
      <c r="AD1586">
        <v>206</v>
      </c>
      <c r="AE1586" s="1">
        <v>206000</v>
      </c>
      <c r="AF1586">
        <v>220</v>
      </c>
      <c r="AJ1586">
        <v>0</v>
      </c>
      <c r="AK1586">
        <v>0</v>
      </c>
      <c r="AL1586">
        <v>0</v>
      </c>
      <c r="AM1586">
        <v>0</v>
      </c>
      <c r="AN1586">
        <v>0</v>
      </c>
      <c r="AO1586">
        <v>0</v>
      </c>
      <c r="AP1586" s="2">
        <v>42831</v>
      </c>
      <c r="AQ1586" t="s">
        <v>72</v>
      </c>
      <c r="AR1586" t="s">
        <v>72</v>
      </c>
      <c r="AS1586">
        <v>648</v>
      </c>
      <c r="AT1586" s="4">
        <v>42795</v>
      </c>
      <c r="AU1586" t="s">
        <v>73</v>
      </c>
      <c r="AV1586">
        <v>648</v>
      </c>
      <c r="AW1586" s="4">
        <v>42795</v>
      </c>
      <c r="BD1586">
        <v>220</v>
      </c>
      <c r="BN1586" t="s">
        <v>74</v>
      </c>
    </row>
    <row r="1587" spans="1:66">
      <c r="A1587">
        <v>104029</v>
      </c>
      <c r="B1587" t="s">
        <v>372</v>
      </c>
      <c r="C1587" s="1">
        <v>43300101</v>
      </c>
      <c r="D1587" t="s">
        <v>67</v>
      </c>
      <c r="H1587" t="str">
        <f t="shared" ref="H1587:H1597" si="211">"00759430267"</f>
        <v>00759430267</v>
      </c>
      <c r="I1587" t="str">
        <f t="shared" ref="I1587:I1597" si="212">"01630000287"</f>
        <v>01630000287</v>
      </c>
      <c r="K1587" t="str">
        <f>""</f>
        <v/>
      </c>
      <c r="M1587" t="s">
        <v>68</v>
      </c>
      <c r="N1587" t="str">
        <f t="shared" si="210"/>
        <v>FOR</v>
      </c>
      <c r="O1587" t="s">
        <v>69</v>
      </c>
      <c r="P1587" t="s">
        <v>75</v>
      </c>
      <c r="Q1587">
        <v>2016</v>
      </c>
      <c r="R1587" s="4">
        <v>42433</v>
      </c>
      <c r="S1587" s="2">
        <v>42436</v>
      </c>
      <c r="T1587" s="2">
        <v>42433</v>
      </c>
      <c r="U1587" s="4">
        <v>42493</v>
      </c>
      <c r="V1587" t="s">
        <v>71</v>
      </c>
      <c r="W1587" t="str">
        <f>"           1641728/E"</f>
        <v xml:space="preserve">           1641728/E</v>
      </c>
      <c r="X1587" s="1">
        <v>1079.0899999999999</v>
      </c>
      <c r="Y1587">
        <v>0</v>
      </c>
      <c r="Z1587" s="5">
        <v>884.5</v>
      </c>
      <c r="AA1587" s="3">
        <v>273</v>
      </c>
      <c r="AB1587" s="5">
        <v>241468.5</v>
      </c>
      <c r="AC1587">
        <v>884.5</v>
      </c>
      <c r="AD1587">
        <v>273</v>
      </c>
      <c r="AE1587" s="1">
        <v>241468.5</v>
      </c>
      <c r="AF1587">
        <v>0</v>
      </c>
      <c r="AJ1587">
        <v>0</v>
      </c>
      <c r="AK1587">
        <v>0</v>
      </c>
      <c r="AL1587">
        <v>0</v>
      </c>
      <c r="AM1587">
        <v>0</v>
      </c>
      <c r="AN1587">
        <v>0</v>
      </c>
      <c r="AO1587">
        <v>0</v>
      </c>
      <c r="AP1587" s="2">
        <v>42831</v>
      </c>
      <c r="AQ1587" t="s">
        <v>72</v>
      </c>
      <c r="AR1587" t="s">
        <v>72</v>
      </c>
      <c r="AS1587">
        <v>167</v>
      </c>
      <c r="AT1587" s="4">
        <v>42766</v>
      </c>
      <c r="AU1587" t="s">
        <v>73</v>
      </c>
      <c r="AV1587">
        <v>167</v>
      </c>
      <c r="AW1587" s="4">
        <v>42766</v>
      </c>
      <c r="BD1587">
        <v>0</v>
      </c>
      <c r="BN1587" t="s">
        <v>74</v>
      </c>
    </row>
    <row r="1588" spans="1:66">
      <c r="A1588">
        <v>104029</v>
      </c>
      <c r="B1588" t="s">
        <v>372</v>
      </c>
      <c r="C1588" s="1">
        <v>43300101</v>
      </c>
      <c r="D1588" t="s">
        <v>67</v>
      </c>
      <c r="H1588" t="str">
        <f t="shared" si="211"/>
        <v>00759430267</v>
      </c>
      <c r="I1588" t="str">
        <f t="shared" si="212"/>
        <v>01630000287</v>
      </c>
      <c r="K1588" t="str">
        <f>""</f>
        <v/>
      </c>
      <c r="M1588" t="s">
        <v>68</v>
      </c>
      <c r="N1588" t="str">
        <f t="shared" si="210"/>
        <v>FOR</v>
      </c>
      <c r="O1588" t="s">
        <v>69</v>
      </c>
      <c r="P1588" t="s">
        <v>75</v>
      </c>
      <c r="Q1588">
        <v>2016</v>
      </c>
      <c r="R1588" s="4">
        <v>42433</v>
      </c>
      <c r="S1588" s="2">
        <v>42436</v>
      </c>
      <c r="T1588" s="2">
        <v>42433</v>
      </c>
      <c r="U1588" s="4">
        <v>42493</v>
      </c>
      <c r="V1588" t="s">
        <v>71</v>
      </c>
      <c r="W1588" t="str">
        <f>"           1641729/E"</f>
        <v xml:space="preserve">           1641729/E</v>
      </c>
      <c r="X1588">
        <v>366</v>
      </c>
      <c r="Y1588">
        <v>0</v>
      </c>
      <c r="Z1588" s="5">
        <v>300</v>
      </c>
      <c r="AA1588" s="3">
        <v>273</v>
      </c>
      <c r="AB1588" s="5">
        <v>81900</v>
      </c>
      <c r="AC1588">
        <v>300</v>
      </c>
      <c r="AD1588">
        <v>273</v>
      </c>
      <c r="AE1588" s="1">
        <v>81900</v>
      </c>
      <c r="AF1588">
        <v>0</v>
      </c>
      <c r="AJ1588">
        <v>0</v>
      </c>
      <c r="AK1588">
        <v>0</v>
      </c>
      <c r="AL1588">
        <v>0</v>
      </c>
      <c r="AM1588">
        <v>0</v>
      </c>
      <c r="AN1588">
        <v>0</v>
      </c>
      <c r="AO1588">
        <v>0</v>
      </c>
      <c r="AP1588" s="2">
        <v>42831</v>
      </c>
      <c r="AQ1588" t="s">
        <v>72</v>
      </c>
      <c r="AR1588" t="s">
        <v>72</v>
      </c>
      <c r="AS1588">
        <v>167</v>
      </c>
      <c r="AT1588" s="4">
        <v>42766</v>
      </c>
      <c r="AU1588" t="s">
        <v>73</v>
      </c>
      <c r="AV1588">
        <v>167</v>
      </c>
      <c r="AW1588" s="4">
        <v>42766</v>
      </c>
      <c r="BD1588">
        <v>0</v>
      </c>
      <c r="BN1588" t="s">
        <v>74</v>
      </c>
    </row>
    <row r="1589" spans="1:66">
      <c r="A1589">
        <v>104029</v>
      </c>
      <c r="B1589" t="s">
        <v>372</v>
      </c>
      <c r="C1589" s="1">
        <v>43300101</v>
      </c>
      <c r="D1589" t="s">
        <v>67</v>
      </c>
      <c r="H1589" t="str">
        <f t="shared" si="211"/>
        <v>00759430267</v>
      </c>
      <c r="I1589" t="str">
        <f t="shared" si="212"/>
        <v>01630000287</v>
      </c>
      <c r="K1589" t="str">
        <f>""</f>
        <v/>
      </c>
      <c r="M1589" t="s">
        <v>68</v>
      </c>
      <c r="N1589" t="str">
        <f t="shared" si="210"/>
        <v>FOR</v>
      </c>
      <c r="O1589" t="s">
        <v>69</v>
      </c>
      <c r="P1589" t="s">
        <v>75</v>
      </c>
      <c r="Q1589">
        <v>2016</v>
      </c>
      <c r="R1589" s="4">
        <v>42454</v>
      </c>
      <c r="S1589" s="2">
        <v>42454</v>
      </c>
      <c r="T1589" s="2">
        <v>42454</v>
      </c>
      <c r="U1589" s="4">
        <v>42514</v>
      </c>
      <c r="V1589" t="s">
        <v>71</v>
      </c>
      <c r="W1589" t="str">
        <f>"           1642311/E"</f>
        <v xml:space="preserve">           1642311/E</v>
      </c>
      <c r="X1589" s="1">
        <v>1464</v>
      </c>
      <c r="Y1589">
        <v>0</v>
      </c>
      <c r="Z1589" s="5">
        <v>1200</v>
      </c>
      <c r="AA1589" s="3">
        <v>252</v>
      </c>
      <c r="AB1589" s="5">
        <v>302400</v>
      </c>
      <c r="AC1589" s="1">
        <v>1200</v>
      </c>
      <c r="AD1589">
        <v>252</v>
      </c>
      <c r="AE1589" s="1">
        <v>302400</v>
      </c>
      <c r="AF1589">
        <v>0</v>
      </c>
      <c r="AJ1589">
        <v>0</v>
      </c>
      <c r="AK1589">
        <v>0</v>
      </c>
      <c r="AL1589">
        <v>0</v>
      </c>
      <c r="AM1589">
        <v>0</v>
      </c>
      <c r="AN1589">
        <v>0</v>
      </c>
      <c r="AO1589">
        <v>0</v>
      </c>
      <c r="AP1589" s="2">
        <v>42831</v>
      </c>
      <c r="AQ1589" t="s">
        <v>72</v>
      </c>
      <c r="AR1589" t="s">
        <v>72</v>
      </c>
      <c r="AS1589">
        <v>167</v>
      </c>
      <c r="AT1589" s="4">
        <v>42766</v>
      </c>
      <c r="AU1589" t="s">
        <v>73</v>
      </c>
      <c r="AV1589">
        <v>167</v>
      </c>
      <c r="AW1589" s="4">
        <v>42766</v>
      </c>
      <c r="BD1589">
        <v>0</v>
      </c>
      <c r="BN1589" t="s">
        <v>74</v>
      </c>
    </row>
    <row r="1590" spans="1:66">
      <c r="A1590">
        <v>104029</v>
      </c>
      <c r="B1590" t="s">
        <v>372</v>
      </c>
      <c r="C1590" s="1">
        <v>43300101</v>
      </c>
      <c r="D1590" t="s">
        <v>67</v>
      </c>
      <c r="H1590" t="str">
        <f t="shared" si="211"/>
        <v>00759430267</v>
      </c>
      <c r="I1590" t="str">
        <f t="shared" si="212"/>
        <v>01630000287</v>
      </c>
      <c r="K1590" t="str">
        <f>""</f>
        <v/>
      </c>
      <c r="M1590" t="s">
        <v>68</v>
      </c>
      <c r="N1590" t="str">
        <f t="shared" si="210"/>
        <v>FOR</v>
      </c>
      <c r="O1590" t="s">
        <v>69</v>
      </c>
      <c r="P1590" t="s">
        <v>75</v>
      </c>
      <c r="Q1590">
        <v>2016</v>
      </c>
      <c r="R1590" s="4">
        <v>42454</v>
      </c>
      <c r="S1590" s="2">
        <v>42457</v>
      </c>
      <c r="T1590" s="2">
        <v>42454</v>
      </c>
      <c r="U1590" s="4">
        <v>42514</v>
      </c>
      <c r="V1590" t="s">
        <v>71</v>
      </c>
      <c r="W1590" t="str">
        <f>"           1642312/E"</f>
        <v xml:space="preserve">           1642312/E</v>
      </c>
      <c r="X1590">
        <v>798.36</v>
      </c>
      <c r="Y1590">
        <v>0</v>
      </c>
      <c r="Z1590" s="5">
        <v>654.39</v>
      </c>
      <c r="AA1590" s="3">
        <v>252</v>
      </c>
      <c r="AB1590" s="5">
        <v>164906.28</v>
      </c>
      <c r="AC1590">
        <v>654.39</v>
      </c>
      <c r="AD1590">
        <v>252</v>
      </c>
      <c r="AE1590" s="1">
        <v>164906.28</v>
      </c>
      <c r="AF1590">
        <v>0</v>
      </c>
      <c r="AJ1590">
        <v>0</v>
      </c>
      <c r="AK1590">
        <v>0</v>
      </c>
      <c r="AL1590">
        <v>0</v>
      </c>
      <c r="AM1590">
        <v>0</v>
      </c>
      <c r="AN1590">
        <v>0</v>
      </c>
      <c r="AO1590">
        <v>0</v>
      </c>
      <c r="AP1590" s="2">
        <v>42831</v>
      </c>
      <c r="AQ1590" t="s">
        <v>72</v>
      </c>
      <c r="AR1590" t="s">
        <v>72</v>
      </c>
      <c r="AS1590">
        <v>167</v>
      </c>
      <c r="AT1590" s="4">
        <v>42766</v>
      </c>
      <c r="AU1590" t="s">
        <v>73</v>
      </c>
      <c r="AV1590">
        <v>167</v>
      </c>
      <c r="AW1590" s="4">
        <v>42766</v>
      </c>
      <c r="BD1590">
        <v>0</v>
      </c>
      <c r="BN1590" t="s">
        <v>74</v>
      </c>
    </row>
    <row r="1591" spans="1:66">
      <c r="A1591">
        <v>104029</v>
      </c>
      <c r="B1591" t="s">
        <v>372</v>
      </c>
      <c r="C1591" s="1">
        <v>43300101</v>
      </c>
      <c r="D1591" t="s">
        <v>67</v>
      </c>
      <c r="H1591" t="str">
        <f t="shared" si="211"/>
        <v>00759430267</v>
      </c>
      <c r="I1591" t="str">
        <f t="shared" si="212"/>
        <v>01630000287</v>
      </c>
      <c r="K1591" t="str">
        <f>""</f>
        <v/>
      </c>
      <c r="M1591" t="s">
        <v>68</v>
      </c>
      <c r="N1591" t="str">
        <f t="shared" si="210"/>
        <v>FOR</v>
      </c>
      <c r="O1591" t="s">
        <v>69</v>
      </c>
      <c r="P1591" t="s">
        <v>75</v>
      </c>
      <c r="Q1591">
        <v>2016</v>
      </c>
      <c r="R1591" s="4">
        <v>42468</v>
      </c>
      <c r="S1591" s="2">
        <v>42473</v>
      </c>
      <c r="T1591" s="2">
        <v>42469</v>
      </c>
      <c r="U1591" s="4">
        <v>42529</v>
      </c>
      <c r="V1591" t="s">
        <v>71</v>
      </c>
      <c r="W1591" t="str">
        <f>"           1642650/E"</f>
        <v xml:space="preserve">           1642650/E</v>
      </c>
      <c r="X1591">
        <v>732</v>
      </c>
      <c r="Y1591">
        <v>0</v>
      </c>
      <c r="Z1591" s="5">
        <v>600</v>
      </c>
      <c r="AA1591" s="3">
        <v>252</v>
      </c>
      <c r="AB1591" s="5">
        <v>151200</v>
      </c>
      <c r="AC1591">
        <v>600</v>
      </c>
      <c r="AD1591">
        <v>252</v>
      </c>
      <c r="AE1591" s="1">
        <v>151200</v>
      </c>
      <c r="AF1591">
        <v>0</v>
      </c>
      <c r="AJ1591">
        <v>0</v>
      </c>
      <c r="AK1591">
        <v>0</v>
      </c>
      <c r="AL1591">
        <v>0</v>
      </c>
      <c r="AM1591">
        <v>0</v>
      </c>
      <c r="AN1591">
        <v>0</v>
      </c>
      <c r="AO1591">
        <v>0</v>
      </c>
      <c r="AP1591" s="2">
        <v>42831</v>
      </c>
      <c r="AQ1591" t="s">
        <v>72</v>
      </c>
      <c r="AR1591" t="s">
        <v>72</v>
      </c>
      <c r="AS1591">
        <v>451</v>
      </c>
      <c r="AT1591" s="4">
        <v>42781</v>
      </c>
      <c r="AU1591" t="s">
        <v>73</v>
      </c>
      <c r="AV1591">
        <v>451</v>
      </c>
      <c r="AW1591" s="4">
        <v>42781</v>
      </c>
      <c r="BD1591">
        <v>0</v>
      </c>
      <c r="BN1591" t="s">
        <v>74</v>
      </c>
    </row>
    <row r="1592" spans="1:66">
      <c r="A1592">
        <v>104029</v>
      </c>
      <c r="B1592" t="s">
        <v>372</v>
      </c>
      <c r="C1592" s="1">
        <v>43300101</v>
      </c>
      <c r="D1592" t="s">
        <v>67</v>
      </c>
      <c r="H1592" t="str">
        <f t="shared" si="211"/>
        <v>00759430267</v>
      </c>
      <c r="I1592" t="str">
        <f t="shared" si="212"/>
        <v>01630000287</v>
      </c>
      <c r="K1592" t="str">
        <f>""</f>
        <v/>
      </c>
      <c r="M1592" t="s">
        <v>68</v>
      </c>
      <c r="N1592" t="str">
        <f t="shared" si="210"/>
        <v>FOR</v>
      </c>
      <c r="O1592" t="s">
        <v>69</v>
      </c>
      <c r="P1592" t="s">
        <v>75</v>
      </c>
      <c r="Q1592">
        <v>2016</v>
      </c>
      <c r="R1592" s="4">
        <v>42489</v>
      </c>
      <c r="S1592" s="2">
        <v>42492</v>
      </c>
      <c r="T1592" s="2">
        <v>42489</v>
      </c>
      <c r="U1592" s="4">
        <v>42549</v>
      </c>
      <c r="V1592" t="s">
        <v>71</v>
      </c>
      <c r="W1592" t="str">
        <f>"           1643318/E"</f>
        <v xml:space="preserve">           1643318/E</v>
      </c>
      <c r="X1592" s="1">
        <v>1464</v>
      </c>
      <c r="Y1592">
        <v>0</v>
      </c>
      <c r="Z1592" s="5">
        <v>1200</v>
      </c>
      <c r="AA1592" s="3">
        <v>232</v>
      </c>
      <c r="AB1592" s="5">
        <v>278400</v>
      </c>
      <c r="AC1592" s="1">
        <v>1200</v>
      </c>
      <c r="AD1592">
        <v>232</v>
      </c>
      <c r="AE1592" s="1">
        <v>278400</v>
      </c>
      <c r="AF1592">
        <v>0</v>
      </c>
      <c r="AJ1592">
        <v>0</v>
      </c>
      <c r="AK1592">
        <v>0</v>
      </c>
      <c r="AL1592">
        <v>0</v>
      </c>
      <c r="AM1592">
        <v>0</v>
      </c>
      <c r="AN1592">
        <v>0</v>
      </c>
      <c r="AO1592">
        <v>0</v>
      </c>
      <c r="AP1592" s="2">
        <v>42831</v>
      </c>
      <c r="AQ1592" t="s">
        <v>72</v>
      </c>
      <c r="AR1592" t="s">
        <v>72</v>
      </c>
      <c r="AS1592">
        <v>451</v>
      </c>
      <c r="AT1592" s="4">
        <v>42781</v>
      </c>
      <c r="AU1592" t="s">
        <v>73</v>
      </c>
      <c r="AV1592">
        <v>451</v>
      </c>
      <c r="AW1592" s="4">
        <v>42781</v>
      </c>
      <c r="BD1592">
        <v>0</v>
      </c>
      <c r="BN1592" t="s">
        <v>74</v>
      </c>
    </row>
    <row r="1593" spans="1:66">
      <c r="A1593">
        <v>104029</v>
      </c>
      <c r="B1593" t="s">
        <v>372</v>
      </c>
      <c r="C1593" s="1">
        <v>43300101</v>
      </c>
      <c r="D1593" t="s">
        <v>67</v>
      </c>
      <c r="H1593" t="str">
        <f t="shared" si="211"/>
        <v>00759430267</v>
      </c>
      <c r="I1593" t="str">
        <f t="shared" si="212"/>
        <v>01630000287</v>
      </c>
      <c r="K1593" t="str">
        <f>""</f>
        <v/>
      </c>
      <c r="M1593" t="s">
        <v>68</v>
      </c>
      <c r="N1593" t="str">
        <f t="shared" si="210"/>
        <v>FOR</v>
      </c>
      <c r="O1593" t="s">
        <v>69</v>
      </c>
      <c r="P1593" t="s">
        <v>75</v>
      </c>
      <c r="Q1593">
        <v>2016</v>
      </c>
      <c r="R1593" s="4">
        <v>42489</v>
      </c>
      <c r="S1593" s="2">
        <v>42492</v>
      </c>
      <c r="T1593" s="2">
        <v>42489</v>
      </c>
      <c r="U1593" s="4">
        <v>42549</v>
      </c>
      <c r="V1593" t="s">
        <v>71</v>
      </c>
      <c r="W1593" t="str">
        <f>"           1643319/E"</f>
        <v xml:space="preserve">           1643319/E</v>
      </c>
      <c r="X1593" s="1">
        <v>5612</v>
      </c>
      <c r="Y1593">
        <v>0</v>
      </c>
      <c r="Z1593" s="5">
        <v>4600</v>
      </c>
      <c r="AA1593" s="3">
        <v>232</v>
      </c>
      <c r="AB1593" s="5">
        <v>1067200</v>
      </c>
      <c r="AC1593" s="1">
        <v>4600</v>
      </c>
      <c r="AD1593">
        <v>232</v>
      </c>
      <c r="AE1593" s="1">
        <v>1067200</v>
      </c>
      <c r="AF1593">
        <v>0</v>
      </c>
      <c r="AJ1593">
        <v>0</v>
      </c>
      <c r="AK1593">
        <v>0</v>
      </c>
      <c r="AL1593">
        <v>0</v>
      </c>
      <c r="AM1593">
        <v>0</v>
      </c>
      <c r="AN1593">
        <v>0</v>
      </c>
      <c r="AO1593">
        <v>0</v>
      </c>
      <c r="AP1593" s="2">
        <v>42831</v>
      </c>
      <c r="AQ1593" t="s">
        <v>72</v>
      </c>
      <c r="AR1593" t="s">
        <v>72</v>
      </c>
      <c r="AS1593">
        <v>451</v>
      </c>
      <c r="AT1593" s="4">
        <v>42781</v>
      </c>
      <c r="AU1593" t="s">
        <v>73</v>
      </c>
      <c r="AV1593">
        <v>451</v>
      </c>
      <c r="AW1593" s="4">
        <v>42781</v>
      </c>
      <c r="BD1593">
        <v>0</v>
      </c>
      <c r="BN1593" t="s">
        <v>74</v>
      </c>
    </row>
    <row r="1594" spans="1:66">
      <c r="A1594">
        <v>104029</v>
      </c>
      <c r="B1594" t="s">
        <v>372</v>
      </c>
      <c r="C1594" s="1">
        <v>43300101</v>
      </c>
      <c r="D1594" t="s">
        <v>67</v>
      </c>
      <c r="H1594" t="str">
        <f t="shared" si="211"/>
        <v>00759430267</v>
      </c>
      <c r="I1594" t="str">
        <f t="shared" si="212"/>
        <v>01630000287</v>
      </c>
      <c r="K1594" t="str">
        <f>""</f>
        <v/>
      </c>
      <c r="M1594" t="s">
        <v>68</v>
      </c>
      <c r="N1594" t="str">
        <f t="shared" si="210"/>
        <v>FOR</v>
      </c>
      <c r="O1594" t="s">
        <v>69</v>
      </c>
      <c r="P1594" t="s">
        <v>75</v>
      </c>
      <c r="Q1594">
        <v>2016</v>
      </c>
      <c r="R1594" s="4">
        <v>42496</v>
      </c>
      <c r="S1594" s="2">
        <v>42501</v>
      </c>
      <c r="T1594" s="2">
        <v>42496</v>
      </c>
      <c r="U1594" s="4">
        <v>42556</v>
      </c>
      <c r="V1594" t="s">
        <v>71</v>
      </c>
      <c r="W1594" t="str">
        <f>"           1643511/E"</f>
        <v xml:space="preserve">           1643511/E</v>
      </c>
      <c r="X1594">
        <v>732</v>
      </c>
      <c r="Y1594">
        <v>0</v>
      </c>
      <c r="Z1594" s="5">
        <v>600</v>
      </c>
      <c r="AA1594" s="3">
        <v>239</v>
      </c>
      <c r="AB1594" s="5">
        <v>143400</v>
      </c>
      <c r="AC1594">
        <v>600</v>
      </c>
      <c r="AD1594">
        <v>239</v>
      </c>
      <c r="AE1594" s="1">
        <v>143400</v>
      </c>
      <c r="AF1594">
        <v>132</v>
      </c>
      <c r="AJ1594">
        <v>0</v>
      </c>
      <c r="AK1594">
        <v>0</v>
      </c>
      <c r="AL1594">
        <v>0</v>
      </c>
      <c r="AM1594">
        <v>0</v>
      </c>
      <c r="AN1594">
        <v>0</v>
      </c>
      <c r="AO1594">
        <v>0</v>
      </c>
      <c r="AP1594" s="2">
        <v>42831</v>
      </c>
      <c r="AQ1594" t="s">
        <v>72</v>
      </c>
      <c r="AR1594" t="s">
        <v>72</v>
      </c>
      <c r="AS1594">
        <v>630</v>
      </c>
      <c r="AT1594" s="4">
        <v>42795</v>
      </c>
      <c r="AU1594" t="s">
        <v>73</v>
      </c>
      <c r="AV1594">
        <v>630</v>
      </c>
      <c r="AW1594" s="4">
        <v>42795</v>
      </c>
      <c r="BD1594">
        <v>132</v>
      </c>
      <c r="BN1594" t="s">
        <v>74</v>
      </c>
    </row>
    <row r="1595" spans="1:66">
      <c r="A1595">
        <v>104029</v>
      </c>
      <c r="B1595" t="s">
        <v>372</v>
      </c>
      <c r="C1595" s="1">
        <v>43300101</v>
      </c>
      <c r="D1595" t="s">
        <v>67</v>
      </c>
      <c r="H1595" t="str">
        <f t="shared" si="211"/>
        <v>00759430267</v>
      </c>
      <c r="I1595" t="str">
        <f t="shared" si="212"/>
        <v>01630000287</v>
      </c>
      <c r="K1595" t="str">
        <f>""</f>
        <v/>
      </c>
      <c r="M1595" t="s">
        <v>68</v>
      </c>
      <c r="N1595" t="str">
        <f t="shared" si="210"/>
        <v>FOR</v>
      </c>
      <c r="O1595" t="s">
        <v>69</v>
      </c>
      <c r="P1595" t="s">
        <v>75</v>
      </c>
      <c r="Q1595">
        <v>2016</v>
      </c>
      <c r="R1595" s="4">
        <v>42503</v>
      </c>
      <c r="S1595" s="2">
        <v>42506</v>
      </c>
      <c r="T1595" s="2">
        <v>42503</v>
      </c>
      <c r="U1595" s="4">
        <v>42563</v>
      </c>
      <c r="V1595" t="s">
        <v>71</v>
      </c>
      <c r="W1595" t="str">
        <f>"           1643715/E"</f>
        <v xml:space="preserve">           1643715/E</v>
      </c>
      <c r="X1595">
        <v>358.68</v>
      </c>
      <c r="Y1595">
        <v>0</v>
      </c>
      <c r="Z1595" s="5">
        <v>294</v>
      </c>
      <c r="AA1595" s="3">
        <v>232</v>
      </c>
      <c r="AB1595" s="5">
        <v>68208</v>
      </c>
      <c r="AC1595">
        <v>294</v>
      </c>
      <c r="AD1595">
        <v>232</v>
      </c>
      <c r="AE1595" s="1">
        <v>68208</v>
      </c>
      <c r="AF1595">
        <v>64.680000000000007</v>
      </c>
      <c r="AJ1595">
        <v>0</v>
      </c>
      <c r="AK1595">
        <v>0</v>
      </c>
      <c r="AL1595">
        <v>0</v>
      </c>
      <c r="AM1595">
        <v>0</v>
      </c>
      <c r="AN1595">
        <v>0</v>
      </c>
      <c r="AO1595">
        <v>0</v>
      </c>
      <c r="AP1595" s="2">
        <v>42831</v>
      </c>
      <c r="AQ1595" t="s">
        <v>72</v>
      </c>
      <c r="AR1595" t="s">
        <v>72</v>
      </c>
      <c r="AS1595">
        <v>630</v>
      </c>
      <c r="AT1595" s="4">
        <v>42795</v>
      </c>
      <c r="AU1595" t="s">
        <v>73</v>
      </c>
      <c r="AV1595">
        <v>630</v>
      </c>
      <c r="AW1595" s="4">
        <v>42795</v>
      </c>
      <c r="BD1595">
        <v>64.680000000000007</v>
      </c>
      <c r="BN1595" t="s">
        <v>74</v>
      </c>
    </row>
    <row r="1596" spans="1:66">
      <c r="A1596">
        <v>104029</v>
      </c>
      <c r="B1596" t="s">
        <v>372</v>
      </c>
      <c r="C1596" s="1">
        <v>43300101</v>
      </c>
      <c r="D1596" t="s">
        <v>67</v>
      </c>
      <c r="H1596" t="str">
        <f t="shared" si="211"/>
        <v>00759430267</v>
      </c>
      <c r="I1596" t="str">
        <f t="shared" si="212"/>
        <v>01630000287</v>
      </c>
      <c r="K1596" t="str">
        <f>""</f>
        <v/>
      </c>
      <c r="M1596" t="s">
        <v>68</v>
      </c>
      <c r="N1596" t="str">
        <f t="shared" si="210"/>
        <v>FOR</v>
      </c>
      <c r="O1596" t="s">
        <v>69</v>
      </c>
      <c r="P1596" t="s">
        <v>75</v>
      </c>
      <c r="Q1596">
        <v>2016</v>
      </c>
      <c r="R1596" s="4">
        <v>42510</v>
      </c>
      <c r="S1596" s="2">
        <v>42513</v>
      </c>
      <c r="T1596" s="2">
        <v>42510</v>
      </c>
      <c r="U1596" s="4">
        <v>42570</v>
      </c>
      <c r="V1596" t="s">
        <v>71</v>
      </c>
      <c r="W1596" t="str">
        <f>"           1643895/E"</f>
        <v xml:space="preserve">           1643895/E</v>
      </c>
      <c r="X1596" s="1">
        <v>4779.96</v>
      </c>
      <c r="Y1596">
        <v>0</v>
      </c>
      <c r="Z1596" s="5">
        <v>3918</v>
      </c>
      <c r="AA1596" s="3">
        <v>225</v>
      </c>
      <c r="AB1596" s="5">
        <v>881550</v>
      </c>
      <c r="AC1596" s="1">
        <v>3918</v>
      </c>
      <c r="AD1596">
        <v>225</v>
      </c>
      <c r="AE1596" s="1">
        <v>881550</v>
      </c>
      <c r="AF1596">
        <v>861.96</v>
      </c>
      <c r="AJ1596">
        <v>0</v>
      </c>
      <c r="AK1596">
        <v>0</v>
      </c>
      <c r="AL1596">
        <v>0</v>
      </c>
      <c r="AM1596">
        <v>0</v>
      </c>
      <c r="AN1596">
        <v>0</v>
      </c>
      <c r="AO1596">
        <v>0</v>
      </c>
      <c r="AP1596" s="2">
        <v>42831</v>
      </c>
      <c r="AQ1596" t="s">
        <v>72</v>
      </c>
      <c r="AR1596" t="s">
        <v>72</v>
      </c>
      <c r="AS1596">
        <v>630</v>
      </c>
      <c r="AT1596" s="4">
        <v>42795</v>
      </c>
      <c r="AU1596" t="s">
        <v>73</v>
      </c>
      <c r="AV1596">
        <v>630</v>
      </c>
      <c r="AW1596" s="4">
        <v>42795</v>
      </c>
      <c r="BD1596">
        <v>861.96</v>
      </c>
      <c r="BN1596" t="s">
        <v>74</v>
      </c>
    </row>
    <row r="1597" spans="1:66">
      <c r="A1597">
        <v>104029</v>
      </c>
      <c r="B1597" t="s">
        <v>372</v>
      </c>
      <c r="C1597" s="1">
        <v>43300101</v>
      </c>
      <c r="D1597" t="s">
        <v>67</v>
      </c>
      <c r="H1597" t="str">
        <f t="shared" si="211"/>
        <v>00759430267</v>
      </c>
      <c r="I1597" t="str">
        <f t="shared" si="212"/>
        <v>01630000287</v>
      </c>
      <c r="K1597" t="str">
        <f>""</f>
        <v/>
      </c>
      <c r="M1597" t="s">
        <v>68</v>
      </c>
      <c r="N1597" t="str">
        <f t="shared" si="210"/>
        <v>FOR</v>
      </c>
      <c r="O1597" t="s">
        <v>69</v>
      </c>
      <c r="P1597" t="s">
        <v>75</v>
      </c>
      <c r="Q1597">
        <v>2016</v>
      </c>
      <c r="R1597" s="4">
        <v>42510</v>
      </c>
      <c r="S1597" s="2">
        <v>42513</v>
      </c>
      <c r="T1597" s="2">
        <v>42510</v>
      </c>
      <c r="U1597" s="4">
        <v>42570</v>
      </c>
      <c r="V1597" t="s">
        <v>71</v>
      </c>
      <c r="W1597" t="str">
        <f>"           1643896/E"</f>
        <v xml:space="preserve">           1643896/E</v>
      </c>
      <c r="X1597" s="1">
        <v>5012.74</v>
      </c>
      <c r="Y1597">
        <v>0</v>
      </c>
      <c r="Z1597" s="5">
        <v>4108.8</v>
      </c>
      <c r="AA1597" s="3">
        <v>225</v>
      </c>
      <c r="AB1597" s="5">
        <v>924480</v>
      </c>
      <c r="AC1597" s="1">
        <v>4108.8</v>
      </c>
      <c r="AD1597">
        <v>225</v>
      </c>
      <c r="AE1597" s="1">
        <v>924480</v>
      </c>
      <c r="AF1597">
        <v>903.94</v>
      </c>
      <c r="AJ1597">
        <v>0</v>
      </c>
      <c r="AK1597">
        <v>0</v>
      </c>
      <c r="AL1597">
        <v>0</v>
      </c>
      <c r="AM1597">
        <v>0</v>
      </c>
      <c r="AN1597">
        <v>0</v>
      </c>
      <c r="AO1597">
        <v>0</v>
      </c>
      <c r="AP1597" s="2">
        <v>42831</v>
      </c>
      <c r="AQ1597" t="s">
        <v>72</v>
      </c>
      <c r="AR1597" t="s">
        <v>72</v>
      </c>
      <c r="AS1597">
        <v>630</v>
      </c>
      <c r="AT1597" s="4">
        <v>42795</v>
      </c>
      <c r="AU1597" t="s">
        <v>73</v>
      </c>
      <c r="AV1597">
        <v>630</v>
      </c>
      <c r="AW1597" s="4">
        <v>42795</v>
      </c>
      <c r="BD1597">
        <v>903.94</v>
      </c>
      <c r="BN1597" t="s">
        <v>74</v>
      </c>
    </row>
    <row r="1598" spans="1:66">
      <c r="A1598">
        <v>104045</v>
      </c>
      <c r="B1598" t="s">
        <v>373</v>
      </c>
      <c r="C1598" s="1">
        <v>43300101</v>
      </c>
      <c r="D1598" t="s">
        <v>67</v>
      </c>
      <c r="H1598" t="str">
        <f>"06693080639"</f>
        <v>06693080639</v>
      </c>
      <c r="I1598" t="str">
        <f>"02364520615"</f>
        <v>02364520615</v>
      </c>
      <c r="K1598" t="str">
        <f>""</f>
        <v/>
      </c>
      <c r="M1598" t="s">
        <v>68</v>
      </c>
      <c r="N1598" t="str">
        <f t="shared" si="210"/>
        <v>FOR</v>
      </c>
      <c r="O1598" t="s">
        <v>69</v>
      </c>
      <c r="P1598" t="s">
        <v>75</v>
      </c>
      <c r="Q1598">
        <v>2016</v>
      </c>
      <c r="R1598" s="4">
        <v>42580</v>
      </c>
      <c r="S1598" s="2">
        <v>42618</v>
      </c>
      <c r="T1598" s="2">
        <v>42614</v>
      </c>
      <c r="U1598" s="4">
        <v>42674</v>
      </c>
      <c r="V1598" t="s">
        <v>71</v>
      </c>
      <c r="W1598" t="str">
        <f>"               59/02"</f>
        <v xml:space="preserve">               59/02</v>
      </c>
      <c r="X1598" s="1">
        <v>31540.87</v>
      </c>
      <c r="Y1598">
        <v>0</v>
      </c>
      <c r="Z1598" s="5">
        <v>25853.18</v>
      </c>
      <c r="AA1598" s="3">
        <v>98</v>
      </c>
      <c r="AB1598" s="5">
        <v>2533611.64</v>
      </c>
      <c r="AC1598" s="1">
        <v>25853.18</v>
      </c>
      <c r="AD1598">
        <v>98</v>
      </c>
      <c r="AE1598" s="1">
        <v>2533611.64</v>
      </c>
      <c r="AF1598">
        <v>0</v>
      </c>
      <c r="AJ1598">
        <v>0</v>
      </c>
      <c r="AK1598">
        <v>0</v>
      </c>
      <c r="AL1598">
        <v>0</v>
      </c>
      <c r="AM1598">
        <v>0</v>
      </c>
      <c r="AN1598">
        <v>0</v>
      </c>
      <c r="AO1598">
        <v>0</v>
      </c>
      <c r="AP1598" s="2">
        <v>42831</v>
      </c>
      <c r="AQ1598" t="s">
        <v>72</v>
      </c>
      <c r="AR1598" t="s">
        <v>72</v>
      </c>
      <c r="AS1598">
        <v>299</v>
      </c>
      <c r="AT1598" s="4">
        <v>42772</v>
      </c>
      <c r="AU1598" t="s">
        <v>73</v>
      </c>
      <c r="AV1598">
        <v>299</v>
      </c>
      <c r="AW1598" s="4">
        <v>42772</v>
      </c>
      <c r="BD1598">
        <v>0</v>
      </c>
      <c r="BN1598" t="s">
        <v>74</v>
      </c>
    </row>
    <row r="1599" spans="1:66">
      <c r="A1599">
        <v>104045</v>
      </c>
      <c r="B1599" t="s">
        <v>373</v>
      </c>
      <c r="C1599" s="1">
        <v>43300101</v>
      </c>
      <c r="D1599" t="s">
        <v>67</v>
      </c>
      <c r="H1599" t="str">
        <f>"06693080639"</f>
        <v>06693080639</v>
      </c>
      <c r="I1599" t="str">
        <f>"02364520615"</f>
        <v>02364520615</v>
      </c>
      <c r="K1599" t="str">
        <f>""</f>
        <v/>
      </c>
      <c r="M1599" t="s">
        <v>68</v>
      </c>
      <c r="N1599" t="str">
        <f t="shared" si="210"/>
        <v>FOR</v>
      </c>
      <c r="O1599" t="s">
        <v>69</v>
      </c>
      <c r="P1599" t="s">
        <v>75</v>
      </c>
      <c r="Q1599">
        <v>2016</v>
      </c>
      <c r="R1599" s="4">
        <v>42612</v>
      </c>
      <c r="S1599" s="2">
        <v>42613</v>
      </c>
      <c r="T1599" s="2">
        <v>42612</v>
      </c>
      <c r="U1599" s="4">
        <v>42672</v>
      </c>
      <c r="V1599" t="s">
        <v>71</v>
      </c>
      <c r="W1599" t="str">
        <f>"               67/02"</f>
        <v xml:space="preserve">               67/02</v>
      </c>
      <c r="X1599" s="1">
        <v>31540.880000000001</v>
      </c>
      <c r="Y1599">
        <v>0</v>
      </c>
      <c r="Z1599" s="5">
        <v>25853.18</v>
      </c>
      <c r="AA1599" s="3">
        <v>123</v>
      </c>
      <c r="AB1599" s="5">
        <v>3179941.14</v>
      </c>
      <c r="AC1599" s="1">
        <v>25853.18</v>
      </c>
      <c r="AD1599">
        <v>123</v>
      </c>
      <c r="AE1599" s="1">
        <v>3179941.14</v>
      </c>
      <c r="AF1599" s="1">
        <v>5687.7</v>
      </c>
      <c r="AJ1599">
        <v>0</v>
      </c>
      <c r="AK1599">
        <v>0</v>
      </c>
      <c r="AL1599">
        <v>0</v>
      </c>
      <c r="AM1599">
        <v>0</v>
      </c>
      <c r="AN1599">
        <v>0</v>
      </c>
      <c r="AO1599">
        <v>0</v>
      </c>
      <c r="AP1599" s="2">
        <v>42831</v>
      </c>
      <c r="AQ1599" t="s">
        <v>72</v>
      </c>
      <c r="AR1599" t="s">
        <v>72</v>
      </c>
      <c r="AS1599">
        <v>667</v>
      </c>
      <c r="AT1599" s="4">
        <v>42795</v>
      </c>
      <c r="AU1599" t="s">
        <v>73</v>
      </c>
      <c r="AV1599">
        <v>667</v>
      </c>
      <c r="AW1599" s="4">
        <v>42795</v>
      </c>
      <c r="BC1599" s="1">
        <v>5687.7</v>
      </c>
      <c r="BD1599">
        <v>0</v>
      </c>
      <c r="BN1599" t="s">
        <v>74</v>
      </c>
    </row>
    <row r="1600" spans="1:66">
      <c r="A1600">
        <v>104048</v>
      </c>
      <c r="B1600" t="s">
        <v>374</v>
      </c>
      <c r="C1600" s="1">
        <v>43300101</v>
      </c>
      <c r="D1600" t="s">
        <v>67</v>
      </c>
      <c r="H1600" t="str">
        <f t="shared" ref="H1600:I1619" si="213">"00674840152"</f>
        <v>00674840152</v>
      </c>
      <c r="I1600" t="str">
        <f t="shared" si="213"/>
        <v>00674840152</v>
      </c>
      <c r="K1600" t="str">
        <f>""</f>
        <v/>
      </c>
      <c r="M1600" t="s">
        <v>68</v>
      </c>
      <c r="N1600" t="str">
        <f t="shared" si="210"/>
        <v>FOR</v>
      </c>
      <c r="O1600" t="s">
        <v>69</v>
      </c>
      <c r="P1600" t="s">
        <v>75</v>
      </c>
      <c r="Q1600">
        <v>2016</v>
      </c>
      <c r="R1600" s="4">
        <v>42430</v>
      </c>
      <c r="S1600" s="2">
        <v>42436</v>
      </c>
      <c r="T1600" s="2">
        <v>42431</v>
      </c>
      <c r="U1600" s="4">
        <v>42491</v>
      </c>
      <c r="V1600" t="s">
        <v>71</v>
      </c>
      <c r="W1600" t="str">
        <f>"          5301713353"</f>
        <v xml:space="preserve">          5301713353</v>
      </c>
      <c r="X1600">
        <v>329.11</v>
      </c>
      <c r="Y1600">
        <v>0</v>
      </c>
      <c r="Z1600" s="5">
        <v>269.76</v>
      </c>
      <c r="AA1600" s="3">
        <v>283</v>
      </c>
      <c r="AB1600" s="5">
        <v>76342.080000000002</v>
      </c>
      <c r="AC1600">
        <v>269.76</v>
      </c>
      <c r="AD1600">
        <v>283</v>
      </c>
      <c r="AE1600" s="1">
        <v>76342.080000000002</v>
      </c>
      <c r="AF1600">
        <v>0</v>
      </c>
      <c r="AJ1600">
        <v>0</v>
      </c>
      <c r="AK1600">
        <v>0</v>
      </c>
      <c r="AL1600">
        <v>0</v>
      </c>
      <c r="AM1600">
        <v>0</v>
      </c>
      <c r="AN1600">
        <v>0</v>
      </c>
      <c r="AO1600">
        <v>0</v>
      </c>
      <c r="AP1600" s="2">
        <v>42831</v>
      </c>
      <c r="AQ1600" t="s">
        <v>72</v>
      </c>
      <c r="AR1600" t="s">
        <v>72</v>
      </c>
      <c r="AS1600">
        <v>341</v>
      </c>
      <c r="AT1600" s="4">
        <v>42774</v>
      </c>
      <c r="AU1600" t="s">
        <v>73</v>
      </c>
      <c r="AV1600">
        <v>341</v>
      </c>
      <c r="AW1600" s="4">
        <v>42774</v>
      </c>
      <c r="BD1600">
        <v>0</v>
      </c>
      <c r="BN1600" t="s">
        <v>74</v>
      </c>
    </row>
    <row r="1601" spans="1:66">
      <c r="A1601">
        <v>104048</v>
      </c>
      <c r="B1601" t="s">
        <v>374</v>
      </c>
      <c r="C1601" s="1">
        <v>43300101</v>
      </c>
      <c r="D1601" t="s">
        <v>67</v>
      </c>
      <c r="H1601" t="str">
        <f t="shared" si="213"/>
        <v>00674840152</v>
      </c>
      <c r="I1601" t="str">
        <f t="shared" si="213"/>
        <v>00674840152</v>
      </c>
      <c r="K1601" t="str">
        <f>""</f>
        <v/>
      </c>
      <c r="M1601" t="s">
        <v>68</v>
      </c>
      <c r="N1601" t="str">
        <f t="shared" si="210"/>
        <v>FOR</v>
      </c>
      <c r="O1601" t="s">
        <v>69</v>
      </c>
      <c r="P1601" t="s">
        <v>75</v>
      </c>
      <c r="Q1601">
        <v>2016</v>
      </c>
      <c r="R1601" s="4">
        <v>42430</v>
      </c>
      <c r="S1601" s="2">
        <v>42436</v>
      </c>
      <c r="T1601" s="2">
        <v>42431</v>
      </c>
      <c r="U1601" s="4">
        <v>42491</v>
      </c>
      <c r="V1601" t="s">
        <v>71</v>
      </c>
      <c r="W1601" t="str">
        <f>"          5301713354"</f>
        <v xml:space="preserve">          5301713354</v>
      </c>
      <c r="X1601" s="1">
        <v>4378.53</v>
      </c>
      <c r="Y1601">
        <v>0</v>
      </c>
      <c r="Z1601" s="5">
        <v>3588.96</v>
      </c>
      <c r="AA1601" s="3">
        <v>283</v>
      </c>
      <c r="AB1601" s="5">
        <v>1015675.68</v>
      </c>
      <c r="AC1601" s="1">
        <v>3588.96</v>
      </c>
      <c r="AD1601">
        <v>283</v>
      </c>
      <c r="AE1601" s="1">
        <v>1015675.68</v>
      </c>
      <c r="AF1601">
        <v>0</v>
      </c>
      <c r="AJ1601">
        <v>0</v>
      </c>
      <c r="AK1601">
        <v>0</v>
      </c>
      <c r="AL1601">
        <v>0</v>
      </c>
      <c r="AM1601">
        <v>0</v>
      </c>
      <c r="AN1601">
        <v>0</v>
      </c>
      <c r="AO1601">
        <v>0</v>
      </c>
      <c r="AP1601" s="2">
        <v>42831</v>
      </c>
      <c r="AQ1601" t="s">
        <v>72</v>
      </c>
      <c r="AR1601" t="s">
        <v>72</v>
      </c>
      <c r="AS1601">
        <v>341</v>
      </c>
      <c r="AT1601" s="4">
        <v>42774</v>
      </c>
      <c r="AU1601" t="s">
        <v>73</v>
      </c>
      <c r="AV1601">
        <v>341</v>
      </c>
      <c r="AW1601" s="4">
        <v>42774</v>
      </c>
      <c r="BD1601">
        <v>0</v>
      </c>
      <c r="BN1601" t="s">
        <v>74</v>
      </c>
    </row>
    <row r="1602" spans="1:66">
      <c r="A1602">
        <v>104048</v>
      </c>
      <c r="B1602" t="s">
        <v>374</v>
      </c>
      <c r="C1602" s="1">
        <v>43300101</v>
      </c>
      <c r="D1602" t="s">
        <v>67</v>
      </c>
      <c r="H1602" t="str">
        <f t="shared" si="213"/>
        <v>00674840152</v>
      </c>
      <c r="I1602" t="str">
        <f t="shared" si="213"/>
        <v>00674840152</v>
      </c>
      <c r="K1602" t="str">
        <f>""</f>
        <v/>
      </c>
      <c r="M1602" t="s">
        <v>68</v>
      </c>
      <c r="N1602" t="str">
        <f t="shared" si="210"/>
        <v>FOR</v>
      </c>
      <c r="O1602" t="s">
        <v>69</v>
      </c>
      <c r="P1602" t="s">
        <v>75</v>
      </c>
      <c r="Q1602">
        <v>2016</v>
      </c>
      <c r="R1602" s="4">
        <v>42433</v>
      </c>
      <c r="S1602" s="2">
        <v>42436</v>
      </c>
      <c r="T1602" s="2">
        <v>42434</v>
      </c>
      <c r="U1602" s="4">
        <v>42494</v>
      </c>
      <c r="V1602" t="s">
        <v>71</v>
      </c>
      <c r="W1602" t="str">
        <f>"          5301714631"</f>
        <v xml:space="preserve">          5301714631</v>
      </c>
      <c r="X1602">
        <v>91.7</v>
      </c>
      <c r="Y1602">
        <v>0</v>
      </c>
      <c r="Z1602" s="5">
        <v>75.16</v>
      </c>
      <c r="AA1602" s="3">
        <v>280</v>
      </c>
      <c r="AB1602" s="5">
        <v>21044.799999999999</v>
      </c>
      <c r="AC1602">
        <v>75.16</v>
      </c>
      <c r="AD1602">
        <v>280</v>
      </c>
      <c r="AE1602" s="1">
        <v>21044.799999999999</v>
      </c>
      <c r="AF1602">
        <v>0</v>
      </c>
      <c r="AJ1602">
        <v>0</v>
      </c>
      <c r="AK1602">
        <v>0</v>
      </c>
      <c r="AL1602">
        <v>0</v>
      </c>
      <c r="AM1602">
        <v>0</v>
      </c>
      <c r="AN1602">
        <v>0</v>
      </c>
      <c r="AO1602">
        <v>0</v>
      </c>
      <c r="AP1602" s="2">
        <v>42831</v>
      </c>
      <c r="AQ1602" t="s">
        <v>72</v>
      </c>
      <c r="AR1602" t="s">
        <v>72</v>
      </c>
      <c r="AS1602">
        <v>341</v>
      </c>
      <c r="AT1602" s="4">
        <v>42774</v>
      </c>
      <c r="AU1602" t="s">
        <v>73</v>
      </c>
      <c r="AV1602">
        <v>341</v>
      </c>
      <c r="AW1602" s="4">
        <v>42774</v>
      </c>
      <c r="BD1602">
        <v>0</v>
      </c>
      <c r="BN1602" t="s">
        <v>74</v>
      </c>
    </row>
    <row r="1603" spans="1:66">
      <c r="A1603">
        <v>104048</v>
      </c>
      <c r="B1603" t="s">
        <v>374</v>
      </c>
      <c r="C1603" s="1">
        <v>43300101</v>
      </c>
      <c r="D1603" t="s">
        <v>67</v>
      </c>
      <c r="H1603" t="str">
        <f t="shared" si="213"/>
        <v>00674840152</v>
      </c>
      <c r="I1603" t="str">
        <f t="shared" si="213"/>
        <v>00674840152</v>
      </c>
      <c r="K1603" t="str">
        <f>""</f>
        <v/>
      </c>
      <c r="M1603" t="s">
        <v>68</v>
      </c>
      <c r="N1603" t="str">
        <f t="shared" si="210"/>
        <v>FOR</v>
      </c>
      <c r="O1603" t="s">
        <v>69</v>
      </c>
      <c r="P1603" t="s">
        <v>75</v>
      </c>
      <c r="Q1603">
        <v>2016</v>
      </c>
      <c r="R1603" s="4">
        <v>42438</v>
      </c>
      <c r="S1603" s="2">
        <v>42439</v>
      </c>
      <c r="T1603" s="2">
        <v>42439</v>
      </c>
      <c r="U1603" s="4">
        <v>42499</v>
      </c>
      <c r="V1603" t="s">
        <v>71</v>
      </c>
      <c r="W1603" t="str">
        <f>"          5301715570"</f>
        <v xml:space="preserve">          5301715570</v>
      </c>
      <c r="X1603">
        <v>183.39</v>
      </c>
      <c r="Y1603">
        <v>0</v>
      </c>
      <c r="Z1603" s="5">
        <v>150.32</v>
      </c>
      <c r="AA1603" s="3">
        <v>275</v>
      </c>
      <c r="AB1603" s="5">
        <v>41338</v>
      </c>
      <c r="AC1603">
        <v>150.32</v>
      </c>
      <c r="AD1603">
        <v>275</v>
      </c>
      <c r="AE1603" s="1">
        <v>41338</v>
      </c>
      <c r="AF1603">
        <v>0</v>
      </c>
      <c r="AJ1603">
        <v>0</v>
      </c>
      <c r="AK1603">
        <v>0</v>
      </c>
      <c r="AL1603">
        <v>0</v>
      </c>
      <c r="AM1603">
        <v>0</v>
      </c>
      <c r="AN1603">
        <v>0</v>
      </c>
      <c r="AO1603">
        <v>0</v>
      </c>
      <c r="AP1603" s="2">
        <v>42831</v>
      </c>
      <c r="AQ1603" t="s">
        <v>72</v>
      </c>
      <c r="AR1603" t="s">
        <v>72</v>
      </c>
      <c r="AS1603">
        <v>341</v>
      </c>
      <c r="AT1603" s="4">
        <v>42774</v>
      </c>
      <c r="AU1603" t="s">
        <v>73</v>
      </c>
      <c r="AV1603">
        <v>341</v>
      </c>
      <c r="AW1603" s="4">
        <v>42774</v>
      </c>
      <c r="BD1603">
        <v>0</v>
      </c>
      <c r="BN1603" t="s">
        <v>74</v>
      </c>
    </row>
    <row r="1604" spans="1:66">
      <c r="A1604">
        <v>104048</v>
      </c>
      <c r="B1604" t="s">
        <v>374</v>
      </c>
      <c r="C1604" s="1">
        <v>43300101</v>
      </c>
      <c r="D1604" t="s">
        <v>67</v>
      </c>
      <c r="H1604" t="str">
        <f t="shared" si="213"/>
        <v>00674840152</v>
      </c>
      <c r="I1604" t="str">
        <f t="shared" si="213"/>
        <v>00674840152</v>
      </c>
      <c r="K1604" t="str">
        <f>""</f>
        <v/>
      </c>
      <c r="M1604" t="s">
        <v>68</v>
      </c>
      <c r="N1604" t="str">
        <f t="shared" si="210"/>
        <v>FOR</v>
      </c>
      <c r="O1604" t="s">
        <v>69</v>
      </c>
      <c r="P1604" t="s">
        <v>75</v>
      </c>
      <c r="Q1604">
        <v>2016</v>
      </c>
      <c r="R1604" s="4">
        <v>42460</v>
      </c>
      <c r="S1604" s="2">
        <v>42502</v>
      </c>
      <c r="T1604" s="2">
        <v>42461</v>
      </c>
      <c r="U1604" s="4">
        <v>42521</v>
      </c>
      <c r="V1604" t="s">
        <v>71</v>
      </c>
      <c r="W1604" t="str">
        <f>"          5301720888"</f>
        <v xml:space="preserve">          5301720888</v>
      </c>
      <c r="X1604">
        <v>244</v>
      </c>
      <c r="Y1604">
        <v>0</v>
      </c>
      <c r="Z1604" s="5">
        <v>200</v>
      </c>
      <c r="AA1604" s="3">
        <v>253</v>
      </c>
      <c r="AB1604" s="5">
        <v>50600</v>
      </c>
      <c r="AC1604">
        <v>200</v>
      </c>
      <c r="AD1604">
        <v>253</v>
      </c>
      <c r="AE1604" s="1">
        <v>50600</v>
      </c>
      <c r="AF1604">
        <v>0</v>
      </c>
      <c r="AJ1604">
        <v>0</v>
      </c>
      <c r="AK1604">
        <v>0</v>
      </c>
      <c r="AL1604">
        <v>0</v>
      </c>
      <c r="AM1604">
        <v>0</v>
      </c>
      <c r="AN1604">
        <v>0</v>
      </c>
      <c r="AO1604">
        <v>0</v>
      </c>
      <c r="AP1604" s="2">
        <v>42831</v>
      </c>
      <c r="AQ1604" t="s">
        <v>72</v>
      </c>
      <c r="AR1604" t="s">
        <v>72</v>
      </c>
      <c r="AS1604">
        <v>341</v>
      </c>
      <c r="AT1604" s="4">
        <v>42774</v>
      </c>
      <c r="AU1604" t="s">
        <v>73</v>
      </c>
      <c r="AV1604">
        <v>341</v>
      </c>
      <c r="AW1604" s="4">
        <v>42774</v>
      </c>
      <c r="BD1604">
        <v>0</v>
      </c>
      <c r="BN1604" t="s">
        <v>74</v>
      </c>
    </row>
    <row r="1605" spans="1:66">
      <c r="A1605">
        <v>104048</v>
      </c>
      <c r="B1605" t="s">
        <v>374</v>
      </c>
      <c r="C1605" s="1">
        <v>43300101</v>
      </c>
      <c r="D1605" t="s">
        <v>67</v>
      </c>
      <c r="H1605" t="str">
        <f t="shared" si="213"/>
        <v>00674840152</v>
      </c>
      <c r="I1605" t="str">
        <f t="shared" si="213"/>
        <v>00674840152</v>
      </c>
      <c r="K1605" t="str">
        <f>""</f>
        <v/>
      </c>
      <c r="M1605" t="s">
        <v>68</v>
      </c>
      <c r="N1605" t="str">
        <f t="shared" si="210"/>
        <v>FOR</v>
      </c>
      <c r="O1605" t="s">
        <v>69</v>
      </c>
      <c r="P1605" t="s">
        <v>75</v>
      </c>
      <c r="Q1605">
        <v>2016</v>
      </c>
      <c r="R1605" s="4">
        <v>42465</v>
      </c>
      <c r="S1605" s="2">
        <v>42466</v>
      </c>
      <c r="T1605" s="2">
        <v>42466</v>
      </c>
      <c r="U1605" s="4">
        <v>42526</v>
      </c>
      <c r="V1605" t="s">
        <v>71</v>
      </c>
      <c r="W1605" t="str">
        <f>"          5301721884"</f>
        <v xml:space="preserve">          5301721884</v>
      </c>
      <c r="X1605">
        <v>757.62</v>
      </c>
      <c r="Y1605">
        <v>0</v>
      </c>
      <c r="Z1605" s="5">
        <v>621</v>
      </c>
      <c r="AA1605" s="3">
        <v>248</v>
      </c>
      <c r="AB1605" s="5">
        <v>154008</v>
      </c>
      <c r="AC1605">
        <v>621</v>
      </c>
      <c r="AD1605">
        <v>248</v>
      </c>
      <c r="AE1605" s="1">
        <v>154008</v>
      </c>
      <c r="AF1605">
        <v>0</v>
      </c>
      <c r="AJ1605">
        <v>0</v>
      </c>
      <c r="AK1605">
        <v>0</v>
      </c>
      <c r="AL1605">
        <v>0</v>
      </c>
      <c r="AM1605">
        <v>0</v>
      </c>
      <c r="AN1605">
        <v>0</v>
      </c>
      <c r="AO1605">
        <v>0</v>
      </c>
      <c r="AP1605" s="2">
        <v>42831</v>
      </c>
      <c r="AQ1605" t="s">
        <v>72</v>
      </c>
      <c r="AR1605" t="s">
        <v>72</v>
      </c>
      <c r="AS1605">
        <v>341</v>
      </c>
      <c r="AT1605" s="4">
        <v>42774</v>
      </c>
      <c r="AU1605" t="s">
        <v>73</v>
      </c>
      <c r="AV1605">
        <v>341</v>
      </c>
      <c r="AW1605" s="4">
        <v>42774</v>
      </c>
      <c r="BD1605">
        <v>0</v>
      </c>
      <c r="BN1605" t="s">
        <v>74</v>
      </c>
    </row>
    <row r="1606" spans="1:66">
      <c r="A1606">
        <v>104048</v>
      </c>
      <c r="B1606" t="s">
        <v>374</v>
      </c>
      <c r="C1606" s="1">
        <v>43300101</v>
      </c>
      <c r="D1606" t="s">
        <v>67</v>
      </c>
      <c r="H1606" t="str">
        <f t="shared" si="213"/>
        <v>00674840152</v>
      </c>
      <c r="I1606" t="str">
        <f t="shared" si="213"/>
        <v>00674840152</v>
      </c>
      <c r="K1606" t="str">
        <f>""</f>
        <v/>
      </c>
      <c r="M1606" t="s">
        <v>68</v>
      </c>
      <c r="N1606" t="str">
        <f t="shared" si="210"/>
        <v>FOR</v>
      </c>
      <c r="O1606" t="s">
        <v>69</v>
      </c>
      <c r="P1606" t="s">
        <v>75</v>
      </c>
      <c r="Q1606">
        <v>2016</v>
      </c>
      <c r="R1606" s="4">
        <v>42466</v>
      </c>
      <c r="S1606" s="2">
        <v>42473</v>
      </c>
      <c r="T1606" s="2">
        <v>42467</v>
      </c>
      <c r="U1606" s="4">
        <v>42527</v>
      </c>
      <c r="V1606" t="s">
        <v>71</v>
      </c>
      <c r="W1606" t="str">
        <f>"          5301722184"</f>
        <v xml:space="preserve">          5301722184</v>
      </c>
      <c r="X1606">
        <v>610</v>
      </c>
      <c r="Y1606">
        <v>0</v>
      </c>
      <c r="Z1606" s="5">
        <v>500</v>
      </c>
      <c r="AA1606" s="3">
        <v>247</v>
      </c>
      <c r="AB1606" s="5">
        <v>123500</v>
      </c>
      <c r="AC1606">
        <v>500</v>
      </c>
      <c r="AD1606">
        <v>247</v>
      </c>
      <c r="AE1606" s="1">
        <v>123500</v>
      </c>
      <c r="AF1606">
        <v>0</v>
      </c>
      <c r="AJ1606">
        <v>0</v>
      </c>
      <c r="AK1606">
        <v>0</v>
      </c>
      <c r="AL1606">
        <v>0</v>
      </c>
      <c r="AM1606">
        <v>0</v>
      </c>
      <c r="AN1606">
        <v>0</v>
      </c>
      <c r="AO1606">
        <v>0</v>
      </c>
      <c r="AP1606" s="2">
        <v>42831</v>
      </c>
      <c r="AQ1606" t="s">
        <v>72</v>
      </c>
      <c r="AR1606" t="s">
        <v>72</v>
      </c>
      <c r="AS1606">
        <v>341</v>
      </c>
      <c r="AT1606" s="4">
        <v>42774</v>
      </c>
      <c r="AU1606" t="s">
        <v>73</v>
      </c>
      <c r="AV1606">
        <v>341</v>
      </c>
      <c r="AW1606" s="4">
        <v>42774</v>
      </c>
      <c r="BD1606">
        <v>0</v>
      </c>
      <c r="BN1606" t="s">
        <v>74</v>
      </c>
    </row>
    <row r="1607" spans="1:66">
      <c r="A1607">
        <v>104048</v>
      </c>
      <c r="B1607" t="s">
        <v>374</v>
      </c>
      <c r="C1607" s="1">
        <v>43300101</v>
      </c>
      <c r="D1607" t="s">
        <v>67</v>
      </c>
      <c r="H1607" t="str">
        <f t="shared" si="213"/>
        <v>00674840152</v>
      </c>
      <c r="I1607" t="str">
        <f t="shared" si="213"/>
        <v>00674840152</v>
      </c>
      <c r="K1607" t="str">
        <f>""</f>
        <v/>
      </c>
      <c r="M1607" t="s">
        <v>68</v>
      </c>
      <c r="N1607" t="str">
        <f t="shared" si="210"/>
        <v>FOR</v>
      </c>
      <c r="O1607" t="s">
        <v>69</v>
      </c>
      <c r="P1607" t="s">
        <v>75</v>
      </c>
      <c r="Q1607">
        <v>2016</v>
      </c>
      <c r="R1607" s="4">
        <v>42468</v>
      </c>
      <c r="S1607" s="2">
        <v>42473</v>
      </c>
      <c r="T1607" s="2">
        <v>42469</v>
      </c>
      <c r="U1607" s="4">
        <v>42529</v>
      </c>
      <c r="V1607" t="s">
        <v>71</v>
      </c>
      <c r="W1607" t="str">
        <f>"          5301722839"</f>
        <v xml:space="preserve">          5301722839</v>
      </c>
      <c r="X1607">
        <v>66.25</v>
      </c>
      <c r="Y1607">
        <v>0</v>
      </c>
      <c r="Z1607" s="5">
        <v>54.3</v>
      </c>
      <c r="AA1607" s="3">
        <v>245</v>
      </c>
      <c r="AB1607" s="5">
        <v>13303.5</v>
      </c>
      <c r="AC1607">
        <v>54.3</v>
      </c>
      <c r="AD1607">
        <v>245</v>
      </c>
      <c r="AE1607" s="1">
        <v>13303.5</v>
      </c>
      <c r="AF1607">
        <v>0</v>
      </c>
      <c r="AJ1607">
        <v>0</v>
      </c>
      <c r="AK1607">
        <v>0</v>
      </c>
      <c r="AL1607">
        <v>0</v>
      </c>
      <c r="AM1607">
        <v>0</v>
      </c>
      <c r="AN1607">
        <v>0</v>
      </c>
      <c r="AO1607">
        <v>0</v>
      </c>
      <c r="AP1607" s="2">
        <v>42831</v>
      </c>
      <c r="AQ1607" t="s">
        <v>72</v>
      </c>
      <c r="AR1607" t="s">
        <v>72</v>
      </c>
      <c r="AS1607">
        <v>341</v>
      </c>
      <c r="AT1607" s="4">
        <v>42774</v>
      </c>
      <c r="AU1607" t="s">
        <v>73</v>
      </c>
      <c r="AV1607">
        <v>341</v>
      </c>
      <c r="AW1607" s="4">
        <v>42774</v>
      </c>
      <c r="BD1607">
        <v>0</v>
      </c>
      <c r="BN1607" t="s">
        <v>74</v>
      </c>
    </row>
    <row r="1608" spans="1:66">
      <c r="A1608">
        <v>104048</v>
      </c>
      <c r="B1608" t="s">
        <v>374</v>
      </c>
      <c r="C1608" s="1">
        <v>43300101</v>
      </c>
      <c r="D1608" t="s">
        <v>67</v>
      </c>
      <c r="H1608" t="str">
        <f t="shared" si="213"/>
        <v>00674840152</v>
      </c>
      <c r="I1608" t="str">
        <f t="shared" si="213"/>
        <v>00674840152</v>
      </c>
      <c r="K1608" t="str">
        <f>""</f>
        <v/>
      </c>
      <c r="M1608" t="s">
        <v>68</v>
      </c>
      <c r="N1608" t="str">
        <f t="shared" si="210"/>
        <v>FOR</v>
      </c>
      <c r="O1608" t="s">
        <v>69</v>
      </c>
      <c r="P1608" t="s">
        <v>75</v>
      </c>
      <c r="Q1608">
        <v>2016</v>
      </c>
      <c r="R1608" s="4">
        <v>42472</v>
      </c>
      <c r="S1608" s="2">
        <v>42474</v>
      </c>
      <c r="T1608" s="2">
        <v>42473</v>
      </c>
      <c r="U1608" s="4">
        <v>42533</v>
      </c>
      <c r="V1608" t="s">
        <v>71</v>
      </c>
      <c r="W1608" t="str">
        <f>"          5301723203"</f>
        <v xml:space="preserve">          5301723203</v>
      </c>
      <c r="X1608">
        <v>333.4</v>
      </c>
      <c r="Y1608">
        <v>0</v>
      </c>
      <c r="Z1608" s="5">
        <v>273.27999999999997</v>
      </c>
      <c r="AA1608" s="3">
        <v>241</v>
      </c>
      <c r="AB1608" s="5">
        <v>65860.479999999996</v>
      </c>
      <c r="AC1608">
        <v>273.27999999999997</v>
      </c>
      <c r="AD1608">
        <v>241</v>
      </c>
      <c r="AE1608" s="1">
        <v>65860.479999999996</v>
      </c>
      <c r="AF1608">
        <v>0</v>
      </c>
      <c r="AJ1608">
        <v>0</v>
      </c>
      <c r="AK1608">
        <v>0</v>
      </c>
      <c r="AL1608">
        <v>0</v>
      </c>
      <c r="AM1608">
        <v>0</v>
      </c>
      <c r="AN1608">
        <v>0</v>
      </c>
      <c r="AO1608">
        <v>0</v>
      </c>
      <c r="AP1608" s="2">
        <v>42831</v>
      </c>
      <c r="AQ1608" t="s">
        <v>72</v>
      </c>
      <c r="AR1608" t="s">
        <v>72</v>
      </c>
      <c r="AS1608">
        <v>341</v>
      </c>
      <c r="AT1608" s="4">
        <v>42774</v>
      </c>
      <c r="AU1608" t="s">
        <v>73</v>
      </c>
      <c r="AV1608">
        <v>341</v>
      </c>
      <c r="AW1608" s="4">
        <v>42774</v>
      </c>
      <c r="BD1608">
        <v>0</v>
      </c>
      <c r="BN1608" t="s">
        <v>74</v>
      </c>
    </row>
    <row r="1609" spans="1:66">
      <c r="A1609">
        <v>104048</v>
      </c>
      <c r="B1609" t="s">
        <v>374</v>
      </c>
      <c r="C1609" s="1">
        <v>43300101</v>
      </c>
      <c r="D1609" t="s">
        <v>67</v>
      </c>
      <c r="H1609" t="str">
        <f t="shared" si="213"/>
        <v>00674840152</v>
      </c>
      <c r="I1609" t="str">
        <f t="shared" si="213"/>
        <v>00674840152</v>
      </c>
      <c r="K1609" t="str">
        <f>""</f>
        <v/>
      </c>
      <c r="M1609" t="s">
        <v>68</v>
      </c>
      <c r="N1609" t="str">
        <f t="shared" si="210"/>
        <v>FOR</v>
      </c>
      <c r="O1609" t="s">
        <v>69</v>
      </c>
      <c r="P1609" t="s">
        <v>75</v>
      </c>
      <c r="Q1609">
        <v>2016</v>
      </c>
      <c r="R1609" s="4">
        <v>42472</v>
      </c>
      <c r="S1609" s="2">
        <v>42474</v>
      </c>
      <c r="T1609" s="2">
        <v>42473</v>
      </c>
      <c r="U1609" s="4">
        <v>42533</v>
      </c>
      <c r="V1609" t="s">
        <v>71</v>
      </c>
      <c r="W1609" t="str">
        <f>"          5301723204"</f>
        <v xml:space="preserve">          5301723204</v>
      </c>
      <c r="X1609">
        <v>178.61</v>
      </c>
      <c r="Y1609">
        <v>0</v>
      </c>
      <c r="Z1609" s="5">
        <v>146.4</v>
      </c>
      <c r="AA1609" s="3">
        <v>241</v>
      </c>
      <c r="AB1609" s="5">
        <v>35282.400000000001</v>
      </c>
      <c r="AC1609">
        <v>146.4</v>
      </c>
      <c r="AD1609">
        <v>241</v>
      </c>
      <c r="AE1609" s="1">
        <v>35282.400000000001</v>
      </c>
      <c r="AF1609">
        <v>0</v>
      </c>
      <c r="AJ1609">
        <v>0</v>
      </c>
      <c r="AK1609">
        <v>0</v>
      </c>
      <c r="AL1609">
        <v>0</v>
      </c>
      <c r="AM1609">
        <v>0</v>
      </c>
      <c r="AN1609">
        <v>0</v>
      </c>
      <c r="AO1609">
        <v>0</v>
      </c>
      <c r="AP1609" s="2">
        <v>42831</v>
      </c>
      <c r="AQ1609" t="s">
        <v>72</v>
      </c>
      <c r="AR1609" t="s">
        <v>72</v>
      </c>
      <c r="AS1609">
        <v>341</v>
      </c>
      <c r="AT1609" s="4">
        <v>42774</v>
      </c>
      <c r="AU1609" t="s">
        <v>73</v>
      </c>
      <c r="AV1609">
        <v>341</v>
      </c>
      <c r="AW1609" s="4">
        <v>42774</v>
      </c>
      <c r="BD1609">
        <v>0</v>
      </c>
      <c r="BN1609" t="s">
        <v>74</v>
      </c>
    </row>
    <row r="1610" spans="1:66">
      <c r="A1610">
        <v>104048</v>
      </c>
      <c r="B1610" t="s">
        <v>374</v>
      </c>
      <c r="C1610" s="1">
        <v>43300101</v>
      </c>
      <c r="D1610" t="s">
        <v>67</v>
      </c>
      <c r="H1610" t="str">
        <f t="shared" si="213"/>
        <v>00674840152</v>
      </c>
      <c r="I1610" t="str">
        <f t="shared" si="213"/>
        <v>00674840152</v>
      </c>
      <c r="K1610" t="str">
        <f>""</f>
        <v/>
      </c>
      <c r="M1610" t="s">
        <v>68</v>
      </c>
      <c r="N1610" t="str">
        <f t="shared" si="210"/>
        <v>FOR</v>
      </c>
      <c r="O1610" t="s">
        <v>69</v>
      </c>
      <c r="P1610" t="s">
        <v>75</v>
      </c>
      <c r="Q1610">
        <v>2016</v>
      </c>
      <c r="R1610" s="4">
        <v>42472</v>
      </c>
      <c r="S1610" s="2">
        <v>42473</v>
      </c>
      <c r="T1610" s="2">
        <v>42473</v>
      </c>
      <c r="U1610" s="4">
        <v>42533</v>
      </c>
      <c r="V1610" t="s">
        <v>71</v>
      </c>
      <c r="W1610" t="str">
        <f>"          5301723205"</f>
        <v xml:space="preserve">          5301723205</v>
      </c>
      <c r="X1610">
        <v>217.75</v>
      </c>
      <c r="Y1610">
        <v>0</v>
      </c>
      <c r="Z1610" s="5">
        <v>178.48</v>
      </c>
      <c r="AA1610" s="3">
        <v>241</v>
      </c>
      <c r="AB1610" s="5">
        <v>43013.68</v>
      </c>
      <c r="AC1610">
        <v>178.48</v>
      </c>
      <c r="AD1610">
        <v>241</v>
      </c>
      <c r="AE1610" s="1">
        <v>43013.68</v>
      </c>
      <c r="AF1610">
        <v>0</v>
      </c>
      <c r="AJ1610">
        <v>0</v>
      </c>
      <c r="AK1610">
        <v>0</v>
      </c>
      <c r="AL1610">
        <v>0</v>
      </c>
      <c r="AM1610">
        <v>0</v>
      </c>
      <c r="AN1610">
        <v>0</v>
      </c>
      <c r="AO1610">
        <v>0</v>
      </c>
      <c r="AP1610" s="2">
        <v>42831</v>
      </c>
      <c r="AQ1610" t="s">
        <v>72</v>
      </c>
      <c r="AR1610" t="s">
        <v>72</v>
      </c>
      <c r="AS1610">
        <v>341</v>
      </c>
      <c r="AT1610" s="4">
        <v>42774</v>
      </c>
      <c r="AU1610" t="s">
        <v>73</v>
      </c>
      <c r="AV1610">
        <v>341</v>
      </c>
      <c r="AW1610" s="4">
        <v>42774</v>
      </c>
      <c r="BD1610">
        <v>0</v>
      </c>
      <c r="BN1610" t="s">
        <v>74</v>
      </c>
    </row>
    <row r="1611" spans="1:66">
      <c r="A1611">
        <v>104048</v>
      </c>
      <c r="B1611" t="s">
        <v>374</v>
      </c>
      <c r="C1611" s="1">
        <v>43300101</v>
      </c>
      <c r="D1611" t="s">
        <v>67</v>
      </c>
      <c r="H1611" t="str">
        <f t="shared" si="213"/>
        <v>00674840152</v>
      </c>
      <c r="I1611" t="str">
        <f t="shared" si="213"/>
        <v>00674840152</v>
      </c>
      <c r="K1611" t="str">
        <f>""</f>
        <v/>
      </c>
      <c r="M1611" t="s">
        <v>68</v>
      </c>
      <c r="N1611" t="str">
        <f t="shared" si="210"/>
        <v>FOR</v>
      </c>
      <c r="O1611" t="s">
        <v>69</v>
      </c>
      <c r="P1611" t="s">
        <v>75</v>
      </c>
      <c r="Q1611">
        <v>2016</v>
      </c>
      <c r="R1611" s="4">
        <v>42472</v>
      </c>
      <c r="S1611" s="2">
        <v>42474</v>
      </c>
      <c r="T1611" s="2">
        <v>42473</v>
      </c>
      <c r="U1611" s="4">
        <v>42533</v>
      </c>
      <c r="V1611" t="s">
        <v>71</v>
      </c>
      <c r="W1611" t="str">
        <f>"          5301723206"</f>
        <v xml:space="preserve">          5301723206</v>
      </c>
      <c r="X1611" s="1">
        <v>1586.77</v>
      </c>
      <c r="Y1611">
        <v>0</v>
      </c>
      <c r="Z1611" s="5">
        <v>1300.6300000000001</v>
      </c>
      <c r="AA1611" s="3">
        <v>241</v>
      </c>
      <c r="AB1611" s="5">
        <v>313451.83</v>
      </c>
      <c r="AC1611" s="1">
        <v>1300.6300000000001</v>
      </c>
      <c r="AD1611">
        <v>241</v>
      </c>
      <c r="AE1611" s="1">
        <v>313451.83</v>
      </c>
      <c r="AF1611">
        <v>0</v>
      </c>
      <c r="AJ1611">
        <v>0</v>
      </c>
      <c r="AK1611">
        <v>0</v>
      </c>
      <c r="AL1611">
        <v>0</v>
      </c>
      <c r="AM1611">
        <v>0</v>
      </c>
      <c r="AN1611">
        <v>0</v>
      </c>
      <c r="AO1611">
        <v>0</v>
      </c>
      <c r="AP1611" s="2">
        <v>42831</v>
      </c>
      <c r="AQ1611" t="s">
        <v>72</v>
      </c>
      <c r="AR1611" t="s">
        <v>72</v>
      </c>
      <c r="AS1611">
        <v>341</v>
      </c>
      <c r="AT1611" s="4">
        <v>42774</v>
      </c>
      <c r="AU1611" t="s">
        <v>73</v>
      </c>
      <c r="AV1611">
        <v>341</v>
      </c>
      <c r="AW1611" s="4">
        <v>42774</v>
      </c>
      <c r="BD1611">
        <v>0</v>
      </c>
      <c r="BN1611" t="s">
        <v>74</v>
      </c>
    </row>
    <row r="1612" spans="1:66">
      <c r="A1612">
        <v>104048</v>
      </c>
      <c r="B1612" t="s">
        <v>374</v>
      </c>
      <c r="C1612" s="1">
        <v>43300101</v>
      </c>
      <c r="D1612" t="s">
        <v>67</v>
      </c>
      <c r="H1612" t="str">
        <f t="shared" si="213"/>
        <v>00674840152</v>
      </c>
      <c r="I1612" t="str">
        <f t="shared" si="213"/>
        <v>00674840152</v>
      </c>
      <c r="K1612" t="str">
        <f>""</f>
        <v/>
      </c>
      <c r="M1612" t="s">
        <v>68</v>
      </c>
      <c r="N1612" t="str">
        <f t="shared" si="210"/>
        <v>FOR</v>
      </c>
      <c r="O1612" t="s">
        <v>69</v>
      </c>
      <c r="P1612" t="s">
        <v>75</v>
      </c>
      <c r="Q1612">
        <v>2016</v>
      </c>
      <c r="R1612" s="4">
        <v>42473</v>
      </c>
      <c r="S1612" s="2">
        <v>42475</v>
      </c>
      <c r="T1612" s="2">
        <v>42474</v>
      </c>
      <c r="U1612" s="4">
        <v>42534</v>
      </c>
      <c r="V1612" t="s">
        <v>71</v>
      </c>
      <c r="W1612" t="str">
        <f>"          5301723980"</f>
        <v xml:space="preserve">          5301723980</v>
      </c>
      <c r="X1612">
        <v>880</v>
      </c>
      <c r="Y1612">
        <v>0</v>
      </c>
      <c r="Z1612" s="5">
        <v>721.31</v>
      </c>
      <c r="AA1612" s="3">
        <v>240</v>
      </c>
      <c r="AB1612" s="5">
        <v>173114.4</v>
      </c>
      <c r="AC1612">
        <v>721.31</v>
      </c>
      <c r="AD1612">
        <v>240</v>
      </c>
      <c r="AE1612" s="1">
        <v>173114.4</v>
      </c>
      <c r="AF1612">
        <v>0</v>
      </c>
      <c r="AJ1612">
        <v>0</v>
      </c>
      <c r="AK1612">
        <v>0</v>
      </c>
      <c r="AL1612">
        <v>0</v>
      </c>
      <c r="AM1612">
        <v>0</v>
      </c>
      <c r="AN1612">
        <v>0</v>
      </c>
      <c r="AO1612">
        <v>0</v>
      </c>
      <c r="AP1612" s="2">
        <v>42831</v>
      </c>
      <c r="AQ1612" t="s">
        <v>72</v>
      </c>
      <c r="AR1612" t="s">
        <v>72</v>
      </c>
      <c r="AS1612">
        <v>341</v>
      </c>
      <c r="AT1612" s="4">
        <v>42774</v>
      </c>
      <c r="AU1612" t="s">
        <v>73</v>
      </c>
      <c r="AV1612">
        <v>341</v>
      </c>
      <c r="AW1612" s="4">
        <v>42774</v>
      </c>
      <c r="BD1612">
        <v>0</v>
      </c>
      <c r="BN1612" t="s">
        <v>74</v>
      </c>
    </row>
    <row r="1613" spans="1:66">
      <c r="A1613">
        <v>104048</v>
      </c>
      <c r="B1613" t="s">
        <v>374</v>
      </c>
      <c r="C1613" s="1">
        <v>43300101</v>
      </c>
      <c r="D1613" t="s">
        <v>67</v>
      </c>
      <c r="H1613" t="str">
        <f t="shared" si="213"/>
        <v>00674840152</v>
      </c>
      <c r="I1613" t="str">
        <f t="shared" si="213"/>
        <v>00674840152</v>
      </c>
      <c r="K1613" t="str">
        <f>""</f>
        <v/>
      </c>
      <c r="M1613" t="s">
        <v>68</v>
      </c>
      <c r="N1613" t="str">
        <f t="shared" si="210"/>
        <v>FOR</v>
      </c>
      <c r="O1613" t="s">
        <v>69</v>
      </c>
      <c r="P1613" t="s">
        <v>75</v>
      </c>
      <c r="Q1613">
        <v>2016</v>
      </c>
      <c r="R1613" s="4">
        <v>42474</v>
      </c>
      <c r="S1613" s="2">
        <v>42478</v>
      </c>
      <c r="T1613" s="2">
        <v>42475</v>
      </c>
      <c r="U1613" s="4">
        <v>42535</v>
      </c>
      <c r="V1613" t="s">
        <v>71</v>
      </c>
      <c r="W1613" t="str">
        <f>"          5301724353"</f>
        <v xml:space="preserve">          5301724353</v>
      </c>
      <c r="X1613">
        <v>66.25</v>
      </c>
      <c r="Y1613">
        <v>0</v>
      </c>
      <c r="Z1613" s="5">
        <v>54.3</v>
      </c>
      <c r="AA1613" s="3">
        <v>239</v>
      </c>
      <c r="AB1613" s="5">
        <v>12977.7</v>
      </c>
      <c r="AC1613">
        <v>54.3</v>
      </c>
      <c r="AD1613">
        <v>239</v>
      </c>
      <c r="AE1613" s="1">
        <v>12977.7</v>
      </c>
      <c r="AF1613">
        <v>0</v>
      </c>
      <c r="AJ1613">
        <v>0</v>
      </c>
      <c r="AK1613">
        <v>0</v>
      </c>
      <c r="AL1613">
        <v>0</v>
      </c>
      <c r="AM1613">
        <v>0</v>
      </c>
      <c r="AN1613">
        <v>0</v>
      </c>
      <c r="AO1613">
        <v>0</v>
      </c>
      <c r="AP1613" s="2">
        <v>42831</v>
      </c>
      <c r="AQ1613" t="s">
        <v>72</v>
      </c>
      <c r="AR1613" t="s">
        <v>72</v>
      </c>
      <c r="AS1613">
        <v>341</v>
      </c>
      <c r="AT1613" s="4">
        <v>42774</v>
      </c>
      <c r="AU1613" t="s">
        <v>73</v>
      </c>
      <c r="AV1613">
        <v>341</v>
      </c>
      <c r="AW1613" s="4">
        <v>42774</v>
      </c>
      <c r="BD1613">
        <v>0</v>
      </c>
      <c r="BN1613" t="s">
        <v>74</v>
      </c>
    </row>
    <row r="1614" spans="1:66">
      <c r="A1614">
        <v>104048</v>
      </c>
      <c r="B1614" t="s">
        <v>374</v>
      </c>
      <c r="C1614" s="1">
        <v>43300101</v>
      </c>
      <c r="D1614" t="s">
        <v>67</v>
      </c>
      <c r="H1614" t="str">
        <f t="shared" si="213"/>
        <v>00674840152</v>
      </c>
      <c r="I1614" t="str">
        <f t="shared" si="213"/>
        <v>00674840152</v>
      </c>
      <c r="K1614" t="str">
        <f>""</f>
        <v/>
      </c>
      <c r="M1614" t="s">
        <v>68</v>
      </c>
      <c r="N1614" t="str">
        <f t="shared" si="210"/>
        <v>FOR</v>
      </c>
      <c r="O1614" t="s">
        <v>69</v>
      </c>
      <c r="P1614" t="s">
        <v>75</v>
      </c>
      <c r="Q1614">
        <v>2016</v>
      </c>
      <c r="R1614" s="4">
        <v>42479</v>
      </c>
      <c r="S1614" s="2">
        <v>42481</v>
      </c>
      <c r="T1614" s="2">
        <v>42480</v>
      </c>
      <c r="U1614" s="4">
        <v>42540</v>
      </c>
      <c r="V1614" t="s">
        <v>71</v>
      </c>
      <c r="W1614" t="str">
        <f>"          5301725515"</f>
        <v xml:space="preserve">          5301725515</v>
      </c>
      <c r="X1614" s="1">
        <v>1258.21</v>
      </c>
      <c r="Y1614">
        <v>0</v>
      </c>
      <c r="Z1614" s="5">
        <v>1031.32</v>
      </c>
      <c r="AA1614" s="3">
        <v>234</v>
      </c>
      <c r="AB1614" s="5">
        <v>241328.88</v>
      </c>
      <c r="AC1614" s="1">
        <v>1031.32</v>
      </c>
      <c r="AD1614">
        <v>234</v>
      </c>
      <c r="AE1614" s="1">
        <v>241328.88</v>
      </c>
      <c r="AF1614">
        <v>0</v>
      </c>
      <c r="AJ1614">
        <v>0</v>
      </c>
      <c r="AK1614">
        <v>0</v>
      </c>
      <c r="AL1614">
        <v>0</v>
      </c>
      <c r="AM1614">
        <v>0</v>
      </c>
      <c r="AN1614">
        <v>0</v>
      </c>
      <c r="AO1614">
        <v>0</v>
      </c>
      <c r="AP1614" s="2">
        <v>42831</v>
      </c>
      <c r="AQ1614" t="s">
        <v>72</v>
      </c>
      <c r="AR1614" t="s">
        <v>72</v>
      </c>
      <c r="AS1614">
        <v>341</v>
      </c>
      <c r="AT1614" s="4">
        <v>42774</v>
      </c>
      <c r="AU1614" t="s">
        <v>73</v>
      </c>
      <c r="AV1614">
        <v>341</v>
      </c>
      <c r="AW1614" s="4">
        <v>42774</v>
      </c>
      <c r="BD1614">
        <v>0</v>
      </c>
      <c r="BN1614" t="s">
        <v>74</v>
      </c>
    </row>
    <row r="1615" spans="1:66">
      <c r="A1615">
        <v>104048</v>
      </c>
      <c r="B1615" t="s">
        <v>374</v>
      </c>
      <c r="C1615" s="1">
        <v>43300101</v>
      </c>
      <c r="D1615" t="s">
        <v>67</v>
      </c>
      <c r="H1615" t="str">
        <f t="shared" si="213"/>
        <v>00674840152</v>
      </c>
      <c r="I1615" t="str">
        <f t="shared" si="213"/>
        <v>00674840152</v>
      </c>
      <c r="K1615" t="str">
        <f>""</f>
        <v/>
      </c>
      <c r="M1615" t="s">
        <v>68</v>
      </c>
      <c r="N1615" t="str">
        <f t="shared" si="210"/>
        <v>FOR</v>
      </c>
      <c r="O1615" t="s">
        <v>69</v>
      </c>
      <c r="P1615" t="s">
        <v>75</v>
      </c>
      <c r="Q1615">
        <v>2016</v>
      </c>
      <c r="R1615" s="4">
        <v>42479</v>
      </c>
      <c r="S1615" s="2">
        <v>42481</v>
      </c>
      <c r="T1615" s="2">
        <v>42480</v>
      </c>
      <c r="U1615" s="4">
        <v>42540</v>
      </c>
      <c r="V1615" t="s">
        <v>71</v>
      </c>
      <c r="W1615" t="str">
        <f>"          5301725516"</f>
        <v xml:space="preserve">          5301725516</v>
      </c>
      <c r="X1615" s="1">
        <v>5563.2</v>
      </c>
      <c r="Y1615">
        <v>0</v>
      </c>
      <c r="Z1615" s="5">
        <v>4560</v>
      </c>
      <c r="AA1615" s="3">
        <v>234</v>
      </c>
      <c r="AB1615" s="5">
        <v>1067040</v>
      </c>
      <c r="AC1615" s="1">
        <v>4560</v>
      </c>
      <c r="AD1615">
        <v>234</v>
      </c>
      <c r="AE1615" s="1">
        <v>1067040</v>
      </c>
      <c r="AF1615">
        <v>0</v>
      </c>
      <c r="AJ1615">
        <v>0</v>
      </c>
      <c r="AK1615">
        <v>0</v>
      </c>
      <c r="AL1615">
        <v>0</v>
      </c>
      <c r="AM1615">
        <v>0</v>
      </c>
      <c r="AN1615">
        <v>0</v>
      </c>
      <c r="AO1615">
        <v>0</v>
      </c>
      <c r="AP1615" s="2">
        <v>42831</v>
      </c>
      <c r="AQ1615" t="s">
        <v>72</v>
      </c>
      <c r="AR1615" t="s">
        <v>72</v>
      </c>
      <c r="AS1615">
        <v>341</v>
      </c>
      <c r="AT1615" s="4">
        <v>42774</v>
      </c>
      <c r="AU1615" t="s">
        <v>73</v>
      </c>
      <c r="AV1615">
        <v>341</v>
      </c>
      <c r="AW1615" s="4">
        <v>42774</v>
      </c>
      <c r="BD1615">
        <v>0</v>
      </c>
      <c r="BN1615" t="s">
        <v>74</v>
      </c>
    </row>
    <row r="1616" spans="1:66">
      <c r="A1616">
        <v>104048</v>
      </c>
      <c r="B1616" t="s">
        <v>374</v>
      </c>
      <c r="C1616" s="1">
        <v>43300101</v>
      </c>
      <c r="D1616" t="s">
        <v>67</v>
      </c>
      <c r="H1616" t="str">
        <f t="shared" si="213"/>
        <v>00674840152</v>
      </c>
      <c r="I1616" t="str">
        <f t="shared" si="213"/>
        <v>00674840152</v>
      </c>
      <c r="K1616" t="str">
        <f>""</f>
        <v/>
      </c>
      <c r="M1616" t="s">
        <v>68</v>
      </c>
      <c r="N1616" t="str">
        <f t="shared" si="210"/>
        <v>FOR</v>
      </c>
      <c r="O1616" t="s">
        <v>69</v>
      </c>
      <c r="P1616" t="s">
        <v>75</v>
      </c>
      <c r="Q1616">
        <v>2016</v>
      </c>
      <c r="R1616" s="4">
        <v>42486</v>
      </c>
      <c r="S1616" s="2">
        <v>42492</v>
      </c>
      <c r="T1616" s="2">
        <v>42490</v>
      </c>
      <c r="U1616" s="4">
        <v>42550</v>
      </c>
      <c r="V1616" t="s">
        <v>71</v>
      </c>
      <c r="W1616" t="str">
        <f>"          5301726410"</f>
        <v xml:space="preserve">          5301726410</v>
      </c>
      <c r="X1616" s="1">
        <v>1464</v>
      </c>
      <c r="Y1616">
        <v>0</v>
      </c>
      <c r="Z1616" s="5">
        <v>1200</v>
      </c>
      <c r="AA1616" s="3">
        <v>224</v>
      </c>
      <c r="AB1616" s="5">
        <v>268800</v>
      </c>
      <c r="AC1616" s="1">
        <v>1200</v>
      </c>
      <c r="AD1616">
        <v>224</v>
      </c>
      <c r="AE1616" s="1">
        <v>268800</v>
      </c>
      <c r="AF1616">
        <v>0</v>
      </c>
      <c r="AJ1616">
        <v>0</v>
      </c>
      <c r="AK1616">
        <v>0</v>
      </c>
      <c r="AL1616">
        <v>0</v>
      </c>
      <c r="AM1616">
        <v>0</v>
      </c>
      <c r="AN1616">
        <v>0</v>
      </c>
      <c r="AO1616">
        <v>0</v>
      </c>
      <c r="AP1616" s="2">
        <v>42831</v>
      </c>
      <c r="AQ1616" t="s">
        <v>72</v>
      </c>
      <c r="AR1616" t="s">
        <v>72</v>
      </c>
      <c r="AS1616">
        <v>341</v>
      </c>
      <c r="AT1616" s="4">
        <v>42774</v>
      </c>
      <c r="AU1616" t="s">
        <v>73</v>
      </c>
      <c r="AV1616">
        <v>341</v>
      </c>
      <c r="AW1616" s="4">
        <v>42774</v>
      </c>
      <c r="BD1616">
        <v>0</v>
      </c>
      <c r="BN1616" t="s">
        <v>74</v>
      </c>
    </row>
    <row r="1617" spans="1:66">
      <c r="A1617">
        <v>104048</v>
      </c>
      <c r="B1617" t="s">
        <v>374</v>
      </c>
      <c r="C1617" s="1">
        <v>43300101</v>
      </c>
      <c r="D1617" t="s">
        <v>67</v>
      </c>
      <c r="H1617" t="str">
        <f t="shared" si="213"/>
        <v>00674840152</v>
      </c>
      <c r="I1617" t="str">
        <f t="shared" si="213"/>
        <v>00674840152</v>
      </c>
      <c r="K1617" t="str">
        <f>""</f>
        <v/>
      </c>
      <c r="M1617" t="s">
        <v>68</v>
      </c>
      <c r="N1617" t="str">
        <f t="shared" si="210"/>
        <v>FOR</v>
      </c>
      <c r="O1617" t="s">
        <v>69</v>
      </c>
      <c r="P1617" t="s">
        <v>75</v>
      </c>
      <c r="Q1617">
        <v>2016</v>
      </c>
      <c r="R1617" s="4">
        <v>42486</v>
      </c>
      <c r="S1617" s="2">
        <v>42492</v>
      </c>
      <c r="T1617" s="2">
        <v>42490</v>
      </c>
      <c r="U1617" s="4">
        <v>42550</v>
      </c>
      <c r="V1617" t="s">
        <v>71</v>
      </c>
      <c r="W1617" t="str">
        <f>"          5301726411"</f>
        <v xml:space="preserve">          5301726411</v>
      </c>
      <c r="X1617" s="1">
        <v>2196</v>
      </c>
      <c r="Y1617">
        <v>0</v>
      </c>
      <c r="Z1617" s="5">
        <v>1800</v>
      </c>
      <c r="AA1617" s="3">
        <v>224</v>
      </c>
      <c r="AB1617" s="5">
        <v>403200</v>
      </c>
      <c r="AC1617" s="1">
        <v>1800</v>
      </c>
      <c r="AD1617">
        <v>224</v>
      </c>
      <c r="AE1617" s="1">
        <v>403200</v>
      </c>
      <c r="AF1617">
        <v>0</v>
      </c>
      <c r="AJ1617">
        <v>0</v>
      </c>
      <c r="AK1617">
        <v>0</v>
      </c>
      <c r="AL1617">
        <v>0</v>
      </c>
      <c r="AM1617">
        <v>0</v>
      </c>
      <c r="AN1617">
        <v>0</v>
      </c>
      <c r="AO1617">
        <v>0</v>
      </c>
      <c r="AP1617" s="2">
        <v>42831</v>
      </c>
      <c r="AQ1617" t="s">
        <v>72</v>
      </c>
      <c r="AR1617" t="s">
        <v>72</v>
      </c>
      <c r="AS1617">
        <v>341</v>
      </c>
      <c r="AT1617" s="4">
        <v>42774</v>
      </c>
      <c r="AU1617" t="s">
        <v>73</v>
      </c>
      <c r="AV1617">
        <v>341</v>
      </c>
      <c r="AW1617" s="4">
        <v>42774</v>
      </c>
      <c r="BD1617">
        <v>0</v>
      </c>
      <c r="BN1617" t="s">
        <v>74</v>
      </c>
    </row>
    <row r="1618" spans="1:66">
      <c r="A1618">
        <v>104048</v>
      </c>
      <c r="B1618" t="s">
        <v>374</v>
      </c>
      <c r="C1618" s="1">
        <v>43300101</v>
      </c>
      <c r="D1618" t="s">
        <v>67</v>
      </c>
      <c r="H1618" t="str">
        <f t="shared" si="213"/>
        <v>00674840152</v>
      </c>
      <c r="I1618" t="str">
        <f t="shared" si="213"/>
        <v>00674840152</v>
      </c>
      <c r="K1618" t="str">
        <f>""</f>
        <v/>
      </c>
      <c r="M1618" t="s">
        <v>68</v>
      </c>
      <c r="N1618" t="str">
        <f t="shared" si="210"/>
        <v>FOR</v>
      </c>
      <c r="O1618" t="s">
        <v>69</v>
      </c>
      <c r="P1618" t="s">
        <v>75</v>
      </c>
      <c r="Q1618">
        <v>2016</v>
      </c>
      <c r="R1618" s="4">
        <v>42486</v>
      </c>
      <c r="S1618" s="2">
        <v>42543</v>
      </c>
      <c r="T1618" s="2">
        <v>42542</v>
      </c>
      <c r="U1618" s="4">
        <v>42602</v>
      </c>
      <c r="V1618" t="s">
        <v>71</v>
      </c>
      <c r="W1618" t="str">
        <f>"          5301726679"</f>
        <v xml:space="preserve">          5301726679</v>
      </c>
      <c r="X1618">
        <v>605.12</v>
      </c>
      <c r="Y1618">
        <v>0</v>
      </c>
      <c r="Z1618" s="5">
        <v>496</v>
      </c>
      <c r="AA1618" s="3">
        <v>172</v>
      </c>
      <c r="AB1618" s="5">
        <v>85312</v>
      </c>
      <c r="AC1618">
        <v>496</v>
      </c>
      <c r="AD1618">
        <v>172</v>
      </c>
      <c r="AE1618" s="1">
        <v>85312</v>
      </c>
      <c r="AF1618">
        <v>0</v>
      </c>
      <c r="AJ1618">
        <v>0</v>
      </c>
      <c r="AK1618">
        <v>0</v>
      </c>
      <c r="AL1618">
        <v>0</v>
      </c>
      <c r="AM1618">
        <v>0</v>
      </c>
      <c r="AN1618">
        <v>0</v>
      </c>
      <c r="AO1618">
        <v>0</v>
      </c>
      <c r="AP1618" s="2">
        <v>42831</v>
      </c>
      <c r="AQ1618" t="s">
        <v>72</v>
      </c>
      <c r="AR1618" t="s">
        <v>72</v>
      </c>
      <c r="AS1618">
        <v>341</v>
      </c>
      <c r="AT1618" s="4">
        <v>42774</v>
      </c>
      <c r="AU1618" t="s">
        <v>73</v>
      </c>
      <c r="AV1618">
        <v>341</v>
      </c>
      <c r="AW1618" s="4">
        <v>42774</v>
      </c>
      <c r="BD1618">
        <v>0</v>
      </c>
      <c r="BN1618" t="s">
        <v>74</v>
      </c>
    </row>
    <row r="1619" spans="1:66">
      <c r="A1619">
        <v>104048</v>
      </c>
      <c r="B1619" t="s">
        <v>374</v>
      </c>
      <c r="C1619" s="1">
        <v>43300101</v>
      </c>
      <c r="D1619" t="s">
        <v>67</v>
      </c>
      <c r="H1619" t="str">
        <f t="shared" si="213"/>
        <v>00674840152</v>
      </c>
      <c r="I1619" t="str">
        <f t="shared" si="213"/>
        <v>00674840152</v>
      </c>
      <c r="K1619" t="str">
        <f>""</f>
        <v/>
      </c>
      <c r="M1619" t="s">
        <v>68</v>
      </c>
      <c r="N1619" t="str">
        <f t="shared" si="210"/>
        <v>FOR</v>
      </c>
      <c r="O1619" t="s">
        <v>69</v>
      </c>
      <c r="P1619" t="s">
        <v>75</v>
      </c>
      <c r="Q1619">
        <v>2016</v>
      </c>
      <c r="R1619" s="4">
        <v>42486</v>
      </c>
      <c r="S1619" s="2">
        <v>42543</v>
      </c>
      <c r="T1619" s="2">
        <v>42542</v>
      </c>
      <c r="U1619" s="4">
        <v>42602</v>
      </c>
      <c r="V1619" t="s">
        <v>71</v>
      </c>
      <c r="W1619" t="str">
        <f>"          5301726680"</f>
        <v xml:space="preserve">          5301726680</v>
      </c>
      <c r="X1619" s="1">
        <v>1171.2</v>
      </c>
      <c r="Y1619">
        <v>0</v>
      </c>
      <c r="Z1619" s="5">
        <v>960</v>
      </c>
      <c r="AA1619" s="3">
        <v>172</v>
      </c>
      <c r="AB1619" s="5">
        <v>165120</v>
      </c>
      <c r="AC1619">
        <v>960</v>
      </c>
      <c r="AD1619">
        <v>172</v>
      </c>
      <c r="AE1619" s="1">
        <v>165120</v>
      </c>
      <c r="AF1619">
        <v>0</v>
      </c>
      <c r="AJ1619">
        <v>0</v>
      </c>
      <c r="AK1619">
        <v>0</v>
      </c>
      <c r="AL1619">
        <v>0</v>
      </c>
      <c r="AM1619">
        <v>0</v>
      </c>
      <c r="AN1619">
        <v>0</v>
      </c>
      <c r="AO1619">
        <v>0</v>
      </c>
      <c r="AP1619" s="2">
        <v>42831</v>
      </c>
      <c r="AQ1619" t="s">
        <v>72</v>
      </c>
      <c r="AR1619" t="s">
        <v>72</v>
      </c>
      <c r="AS1619">
        <v>341</v>
      </c>
      <c r="AT1619" s="4">
        <v>42774</v>
      </c>
      <c r="AU1619" t="s">
        <v>73</v>
      </c>
      <c r="AV1619">
        <v>341</v>
      </c>
      <c r="AW1619" s="4">
        <v>42774</v>
      </c>
      <c r="BD1619">
        <v>0</v>
      </c>
      <c r="BN1619" t="s">
        <v>74</v>
      </c>
    </row>
    <row r="1620" spans="1:66">
      <c r="A1620">
        <v>104048</v>
      </c>
      <c r="B1620" t="s">
        <v>374</v>
      </c>
      <c r="C1620" s="1">
        <v>43300101</v>
      </c>
      <c r="D1620" t="s">
        <v>67</v>
      </c>
      <c r="H1620" t="str">
        <f t="shared" ref="H1620:I1638" si="214">"00674840152"</f>
        <v>00674840152</v>
      </c>
      <c r="I1620" t="str">
        <f t="shared" si="214"/>
        <v>00674840152</v>
      </c>
      <c r="K1620" t="str">
        <f>""</f>
        <v/>
      </c>
      <c r="M1620" t="s">
        <v>68</v>
      </c>
      <c r="N1620" t="str">
        <f t="shared" si="210"/>
        <v>FOR</v>
      </c>
      <c r="O1620" t="s">
        <v>69</v>
      </c>
      <c r="P1620" t="s">
        <v>75</v>
      </c>
      <c r="Q1620">
        <v>2016</v>
      </c>
      <c r="R1620" s="4">
        <v>42486</v>
      </c>
      <c r="S1620" s="2">
        <v>42488</v>
      </c>
      <c r="T1620" s="2">
        <v>42487</v>
      </c>
      <c r="U1620" s="4">
        <v>42547</v>
      </c>
      <c r="V1620" t="s">
        <v>71</v>
      </c>
      <c r="W1620" t="str">
        <f>"          5301727017"</f>
        <v xml:space="preserve">          5301727017</v>
      </c>
      <c r="X1620">
        <v>877.06</v>
      </c>
      <c r="Y1620">
        <v>0</v>
      </c>
      <c r="Z1620" s="5">
        <v>718.9</v>
      </c>
      <c r="AA1620" s="3">
        <v>227</v>
      </c>
      <c r="AB1620" s="5">
        <v>163190.29999999999</v>
      </c>
      <c r="AC1620">
        <v>718.9</v>
      </c>
      <c r="AD1620">
        <v>227</v>
      </c>
      <c r="AE1620" s="1">
        <v>163190.29999999999</v>
      </c>
      <c r="AF1620">
        <v>0</v>
      </c>
      <c r="AJ1620">
        <v>0</v>
      </c>
      <c r="AK1620">
        <v>0</v>
      </c>
      <c r="AL1620">
        <v>0</v>
      </c>
      <c r="AM1620">
        <v>0</v>
      </c>
      <c r="AN1620">
        <v>0</v>
      </c>
      <c r="AO1620">
        <v>0</v>
      </c>
      <c r="AP1620" s="2">
        <v>42831</v>
      </c>
      <c r="AQ1620" t="s">
        <v>72</v>
      </c>
      <c r="AR1620" t="s">
        <v>72</v>
      </c>
      <c r="AS1620">
        <v>341</v>
      </c>
      <c r="AT1620" s="4">
        <v>42774</v>
      </c>
      <c r="AU1620" t="s">
        <v>73</v>
      </c>
      <c r="AV1620">
        <v>341</v>
      </c>
      <c r="AW1620" s="4">
        <v>42774</v>
      </c>
      <c r="BD1620">
        <v>0</v>
      </c>
      <c r="BN1620" t="s">
        <v>74</v>
      </c>
    </row>
    <row r="1621" spans="1:66">
      <c r="A1621">
        <v>104048</v>
      </c>
      <c r="B1621" t="s">
        <v>374</v>
      </c>
      <c r="C1621" s="1">
        <v>43300101</v>
      </c>
      <c r="D1621" t="s">
        <v>67</v>
      </c>
      <c r="H1621" t="str">
        <f t="shared" si="214"/>
        <v>00674840152</v>
      </c>
      <c r="I1621" t="str">
        <f t="shared" si="214"/>
        <v>00674840152</v>
      </c>
      <c r="K1621" t="str">
        <f>""</f>
        <v/>
      </c>
      <c r="M1621" t="s">
        <v>68</v>
      </c>
      <c r="N1621" t="str">
        <f t="shared" si="210"/>
        <v>FOR</v>
      </c>
      <c r="O1621" t="s">
        <v>69</v>
      </c>
      <c r="P1621" t="s">
        <v>75</v>
      </c>
      <c r="Q1621">
        <v>2016</v>
      </c>
      <c r="R1621" s="4">
        <v>42496</v>
      </c>
      <c r="S1621" s="2">
        <v>42501</v>
      </c>
      <c r="T1621" s="2">
        <v>42497</v>
      </c>
      <c r="U1621" s="4">
        <v>42557</v>
      </c>
      <c r="V1621" t="s">
        <v>71</v>
      </c>
      <c r="W1621" t="str">
        <f>"          5301729769"</f>
        <v xml:space="preserve">          5301729769</v>
      </c>
      <c r="X1621" s="1">
        <v>11126.4</v>
      </c>
      <c r="Y1621">
        <v>0</v>
      </c>
      <c r="Z1621" s="5">
        <v>9120</v>
      </c>
      <c r="AA1621" s="3">
        <v>240</v>
      </c>
      <c r="AB1621" s="5">
        <v>2188800</v>
      </c>
      <c r="AC1621" s="1">
        <v>9120</v>
      </c>
      <c r="AD1621">
        <v>240</v>
      </c>
      <c r="AE1621" s="1">
        <v>2188800</v>
      </c>
      <c r="AF1621" s="1">
        <v>2006.4</v>
      </c>
      <c r="AJ1621">
        <v>0</v>
      </c>
      <c r="AK1621">
        <v>0</v>
      </c>
      <c r="AL1621">
        <v>0</v>
      </c>
      <c r="AM1621">
        <v>0</v>
      </c>
      <c r="AN1621">
        <v>0</v>
      </c>
      <c r="AO1621">
        <v>0</v>
      </c>
      <c r="AP1621" s="2">
        <v>42831</v>
      </c>
      <c r="AQ1621" t="s">
        <v>72</v>
      </c>
      <c r="AR1621" t="s">
        <v>72</v>
      </c>
      <c r="AS1621">
        <v>712</v>
      </c>
      <c r="AT1621" s="4">
        <v>42797</v>
      </c>
      <c r="AU1621" t="s">
        <v>73</v>
      </c>
      <c r="AV1621">
        <v>712</v>
      </c>
      <c r="AW1621" s="4">
        <v>42797</v>
      </c>
      <c r="BD1621" s="1">
        <v>2006.4</v>
      </c>
      <c r="BN1621" t="s">
        <v>74</v>
      </c>
    </row>
    <row r="1622" spans="1:66">
      <c r="A1622">
        <v>104048</v>
      </c>
      <c r="B1622" t="s">
        <v>374</v>
      </c>
      <c r="C1622" s="1">
        <v>43300101</v>
      </c>
      <c r="D1622" t="s">
        <v>67</v>
      </c>
      <c r="H1622" t="str">
        <f t="shared" si="214"/>
        <v>00674840152</v>
      </c>
      <c r="I1622" t="str">
        <f t="shared" si="214"/>
        <v>00674840152</v>
      </c>
      <c r="K1622" t="str">
        <f>""</f>
        <v/>
      </c>
      <c r="M1622" t="s">
        <v>68</v>
      </c>
      <c r="N1622" t="str">
        <f t="shared" si="210"/>
        <v>FOR</v>
      </c>
      <c r="O1622" t="s">
        <v>69</v>
      </c>
      <c r="P1622" t="s">
        <v>75</v>
      </c>
      <c r="Q1622">
        <v>2016</v>
      </c>
      <c r="R1622" s="4">
        <v>42499</v>
      </c>
      <c r="S1622" s="2">
        <v>42501</v>
      </c>
      <c r="T1622" s="2">
        <v>42500</v>
      </c>
      <c r="U1622" s="4">
        <v>42560</v>
      </c>
      <c r="V1622" t="s">
        <v>71</v>
      </c>
      <c r="W1622" t="str">
        <f>"          5301730124"</f>
        <v xml:space="preserve">          5301730124</v>
      </c>
      <c r="X1622" s="1">
        <v>1592.83</v>
      </c>
      <c r="Y1622">
        <v>0</v>
      </c>
      <c r="Z1622" s="5">
        <v>1305.5999999999999</v>
      </c>
      <c r="AA1622" s="3">
        <v>237</v>
      </c>
      <c r="AB1622" s="5">
        <v>309427.20000000001</v>
      </c>
      <c r="AC1622" s="1">
        <v>1305.5999999999999</v>
      </c>
      <c r="AD1622">
        <v>237</v>
      </c>
      <c r="AE1622" s="1">
        <v>309427.20000000001</v>
      </c>
      <c r="AF1622">
        <v>287.23</v>
      </c>
      <c r="AJ1622">
        <v>0</v>
      </c>
      <c r="AK1622">
        <v>0</v>
      </c>
      <c r="AL1622">
        <v>0</v>
      </c>
      <c r="AM1622">
        <v>0</v>
      </c>
      <c r="AN1622">
        <v>0</v>
      </c>
      <c r="AO1622">
        <v>0</v>
      </c>
      <c r="AP1622" s="2">
        <v>42831</v>
      </c>
      <c r="AQ1622" t="s">
        <v>72</v>
      </c>
      <c r="AR1622" t="s">
        <v>72</v>
      </c>
      <c r="AS1622">
        <v>712</v>
      </c>
      <c r="AT1622" s="4">
        <v>42797</v>
      </c>
      <c r="AU1622" t="s">
        <v>73</v>
      </c>
      <c r="AV1622">
        <v>712</v>
      </c>
      <c r="AW1622" s="4">
        <v>42797</v>
      </c>
      <c r="BD1622">
        <v>287.23</v>
      </c>
      <c r="BN1622" t="s">
        <v>74</v>
      </c>
    </row>
    <row r="1623" spans="1:66">
      <c r="A1623">
        <v>104048</v>
      </c>
      <c r="B1623" t="s">
        <v>374</v>
      </c>
      <c r="C1623" s="1">
        <v>43300101</v>
      </c>
      <c r="D1623" t="s">
        <v>67</v>
      </c>
      <c r="H1623" t="str">
        <f t="shared" si="214"/>
        <v>00674840152</v>
      </c>
      <c r="I1623" t="str">
        <f t="shared" si="214"/>
        <v>00674840152</v>
      </c>
      <c r="K1623" t="str">
        <f>""</f>
        <v/>
      </c>
      <c r="M1623" t="s">
        <v>68</v>
      </c>
      <c r="N1623" t="str">
        <f t="shared" si="210"/>
        <v>FOR</v>
      </c>
      <c r="O1623" t="s">
        <v>69</v>
      </c>
      <c r="P1623" t="s">
        <v>75</v>
      </c>
      <c r="Q1623">
        <v>2016</v>
      </c>
      <c r="R1623" s="4">
        <v>42501</v>
      </c>
      <c r="S1623" s="2">
        <v>42506</v>
      </c>
      <c r="T1623" s="2">
        <v>42502</v>
      </c>
      <c r="U1623" s="4">
        <v>42562</v>
      </c>
      <c r="V1623" t="s">
        <v>71</v>
      </c>
      <c r="W1623" t="str">
        <f>"          5301730802"</f>
        <v xml:space="preserve">          5301730802</v>
      </c>
      <c r="X1623" s="1">
        <v>2508.3200000000002</v>
      </c>
      <c r="Y1623">
        <v>0</v>
      </c>
      <c r="Z1623" s="5">
        <v>2056</v>
      </c>
      <c r="AA1623" s="3">
        <v>235</v>
      </c>
      <c r="AB1623" s="5">
        <v>483160</v>
      </c>
      <c r="AC1623" s="1">
        <v>2056</v>
      </c>
      <c r="AD1623">
        <v>235</v>
      </c>
      <c r="AE1623" s="1">
        <v>483160</v>
      </c>
      <c r="AF1623">
        <v>452.32</v>
      </c>
      <c r="AJ1623">
        <v>0</v>
      </c>
      <c r="AK1623">
        <v>0</v>
      </c>
      <c r="AL1623">
        <v>0</v>
      </c>
      <c r="AM1623">
        <v>0</v>
      </c>
      <c r="AN1623">
        <v>0</v>
      </c>
      <c r="AO1623">
        <v>0</v>
      </c>
      <c r="AP1623" s="2">
        <v>42831</v>
      </c>
      <c r="AQ1623" t="s">
        <v>72</v>
      </c>
      <c r="AR1623" t="s">
        <v>72</v>
      </c>
      <c r="AS1623">
        <v>712</v>
      </c>
      <c r="AT1623" s="4">
        <v>42797</v>
      </c>
      <c r="AU1623" t="s">
        <v>73</v>
      </c>
      <c r="AV1623">
        <v>712</v>
      </c>
      <c r="AW1623" s="4">
        <v>42797</v>
      </c>
      <c r="BD1623">
        <v>452.32</v>
      </c>
      <c r="BN1623" t="s">
        <v>74</v>
      </c>
    </row>
    <row r="1624" spans="1:66">
      <c r="A1624">
        <v>104048</v>
      </c>
      <c r="B1624" t="s">
        <v>374</v>
      </c>
      <c r="C1624" s="1">
        <v>43300101</v>
      </c>
      <c r="D1624" t="s">
        <v>67</v>
      </c>
      <c r="H1624" t="str">
        <f t="shared" si="214"/>
        <v>00674840152</v>
      </c>
      <c r="I1624" t="str">
        <f t="shared" si="214"/>
        <v>00674840152</v>
      </c>
      <c r="K1624" t="str">
        <f>""</f>
        <v/>
      </c>
      <c r="M1624" t="s">
        <v>68</v>
      </c>
      <c r="N1624" t="str">
        <f t="shared" si="210"/>
        <v>FOR</v>
      </c>
      <c r="O1624" t="s">
        <v>69</v>
      </c>
      <c r="P1624" t="s">
        <v>75</v>
      </c>
      <c r="Q1624">
        <v>2016</v>
      </c>
      <c r="R1624" s="4">
        <v>42503</v>
      </c>
      <c r="S1624" s="2">
        <v>42507</v>
      </c>
      <c r="T1624" s="2">
        <v>42504</v>
      </c>
      <c r="U1624" s="4">
        <v>42564</v>
      </c>
      <c r="V1624" t="s">
        <v>71</v>
      </c>
      <c r="W1624" t="str">
        <f>"          5301731447"</f>
        <v xml:space="preserve">          5301731447</v>
      </c>
      <c r="X1624" s="1">
        <v>1021.26</v>
      </c>
      <c r="Y1624">
        <v>0</v>
      </c>
      <c r="Z1624" s="5">
        <v>837.1</v>
      </c>
      <c r="AA1624" s="3">
        <v>233</v>
      </c>
      <c r="AB1624" s="5">
        <v>195044.3</v>
      </c>
      <c r="AC1624">
        <v>837.1</v>
      </c>
      <c r="AD1624">
        <v>233</v>
      </c>
      <c r="AE1624" s="1">
        <v>195044.3</v>
      </c>
      <c r="AF1624">
        <v>184.16</v>
      </c>
      <c r="AJ1624">
        <v>0</v>
      </c>
      <c r="AK1624">
        <v>0</v>
      </c>
      <c r="AL1624">
        <v>0</v>
      </c>
      <c r="AM1624">
        <v>0</v>
      </c>
      <c r="AN1624">
        <v>0</v>
      </c>
      <c r="AO1624">
        <v>0</v>
      </c>
      <c r="AP1624" s="2">
        <v>42831</v>
      </c>
      <c r="AQ1624" t="s">
        <v>72</v>
      </c>
      <c r="AR1624" t="s">
        <v>72</v>
      </c>
      <c r="AS1624">
        <v>712</v>
      </c>
      <c r="AT1624" s="4">
        <v>42797</v>
      </c>
      <c r="AU1624" t="s">
        <v>73</v>
      </c>
      <c r="AV1624">
        <v>712</v>
      </c>
      <c r="AW1624" s="4">
        <v>42797</v>
      </c>
      <c r="BD1624">
        <v>184.16</v>
      </c>
      <c r="BN1624" t="s">
        <v>74</v>
      </c>
    </row>
    <row r="1625" spans="1:66">
      <c r="A1625">
        <v>104048</v>
      </c>
      <c r="B1625" t="s">
        <v>374</v>
      </c>
      <c r="C1625" s="1">
        <v>43300101</v>
      </c>
      <c r="D1625" t="s">
        <v>67</v>
      </c>
      <c r="H1625" t="str">
        <f t="shared" si="214"/>
        <v>00674840152</v>
      </c>
      <c r="I1625" t="str">
        <f t="shared" si="214"/>
        <v>00674840152</v>
      </c>
      <c r="K1625" t="str">
        <f>""</f>
        <v/>
      </c>
      <c r="M1625" t="s">
        <v>68</v>
      </c>
      <c r="N1625" t="str">
        <f t="shared" si="210"/>
        <v>FOR</v>
      </c>
      <c r="O1625" t="s">
        <v>69</v>
      </c>
      <c r="P1625" t="s">
        <v>75</v>
      </c>
      <c r="Q1625">
        <v>2016</v>
      </c>
      <c r="R1625" s="4">
        <v>42507</v>
      </c>
      <c r="S1625" s="2">
        <v>42522</v>
      </c>
      <c r="T1625" s="2">
        <v>42508</v>
      </c>
      <c r="U1625" s="4">
        <v>42568</v>
      </c>
      <c r="V1625" t="s">
        <v>71</v>
      </c>
      <c r="W1625" t="str">
        <f>"          5301732074"</f>
        <v xml:space="preserve">          5301732074</v>
      </c>
      <c r="X1625">
        <v>210.15</v>
      </c>
      <c r="Y1625">
        <v>0</v>
      </c>
      <c r="Z1625" s="5">
        <v>172.25</v>
      </c>
      <c r="AA1625" s="3">
        <v>229</v>
      </c>
      <c r="AB1625" s="5">
        <v>39445.25</v>
      </c>
      <c r="AC1625">
        <v>172.25</v>
      </c>
      <c r="AD1625">
        <v>229</v>
      </c>
      <c r="AE1625" s="1">
        <v>39445.25</v>
      </c>
      <c r="AF1625">
        <v>37.9</v>
      </c>
      <c r="AJ1625">
        <v>0</v>
      </c>
      <c r="AK1625">
        <v>0</v>
      </c>
      <c r="AL1625">
        <v>0</v>
      </c>
      <c r="AM1625">
        <v>0</v>
      </c>
      <c r="AN1625">
        <v>0</v>
      </c>
      <c r="AO1625">
        <v>0</v>
      </c>
      <c r="AP1625" s="2">
        <v>42831</v>
      </c>
      <c r="AQ1625" t="s">
        <v>72</v>
      </c>
      <c r="AR1625" t="s">
        <v>72</v>
      </c>
      <c r="AS1625">
        <v>712</v>
      </c>
      <c r="AT1625" s="4">
        <v>42797</v>
      </c>
      <c r="AU1625" t="s">
        <v>73</v>
      </c>
      <c r="AV1625">
        <v>712</v>
      </c>
      <c r="AW1625" s="4">
        <v>42797</v>
      </c>
      <c r="BD1625">
        <v>37.9</v>
      </c>
      <c r="BN1625" t="s">
        <v>74</v>
      </c>
    </row>
    <row r="1626" spans="1:66">
      <c r="A1626">
        <v>104048</v>
      </c>
      <c r="B1626" t="s">
        <v>374</v>
      </c>
      <c r="C1626" s="1">
        <v>43300101</v>
      </c>
      <c r="D1626" t="s">
        <v>67</v>
      </c>
      <c r="H1626" t="str">
        <f t="shared" si="214"/>
        <v>00674840152</v>
      </c>
      <c r="I1626" t="str">
        <f t="shared" si="214"/>
        <v>00674840152</v>
      </c>
      <c r="K1626" t="str">
        <f>""</f>
        <v/>
      </c>
      <c r="M1626" t="s">
        <v>68</v>
      </c>
      <c r="N1626" t="str">
        <f t="shared" si="210"/>
        <v>FOR</v>
      </c>
      <c r="O1626" t="s">
        <v>69</v>
      </c>
      <c r="P1626" t="s">
        <v>75</v>
      </c>
      <c r="Q1626">
        <v>2016</v>
      </c>
      <c r="R1626" s="4">
        <v>42514</v>
      </c>
      <c r="S1626" s="2">
        <v>42516</v>
      </c>
      <c r="T1626" s="2">
        <v>42515</v>
      </c>
      <c r="U1626" s="4">
        <v>42575</v>
      </c>
      <c r="V1626" t="s">
        <v>71</v>
      </c>
      <c r="W1626" t="str">
        <f>"          5301733581"</f>
        <v xml:space="preserve">          5301733581</v>
      </c>
      <c r="X1626">
        <v>96.44</v>
      </c>
      <c r="Y1626">
        <v>0</v>
      </c>
      <c r="Z1626" s="5">
        <v>79.05</v>
      </c>
      <c r="AA1626" s="3">
        <v>222</v>
      </c>
      <c r="AB1626" s="5">
        <v>17549.099999999999</v>
      </c>
      <c r="AC1626">
        <v>79.05</v>
      </c>
      <c r="AD1626">
        <v>222</v>
      </c>
      <c r="AE1626" s="1">
        <v>17549.099999999999</v>
      </c>
      <c r="AF1626">
        <v>17.39</v>
      </c>
      <c r="AJ1626">
        <v>0</v>
      </c>
      <c r="AK1626">
        <v>0</v>
      </c>
      <c r="AL1626">
        <v>0</v>
      </c>
      <c r="AM1626">
        <v>0</v>
      </c>
      <c r="AN1626">
        <v>0</v>
      </c>
      <c r="AO1626">
        <v>0</v>
      </c>
      <c r="AP1626" s="2">
        <v>42831</v>
      </c>
      <c r="AQ1626" t="s">
        <v>72</v>
      </c>
      <c r="AR1626" t="s">
        <v>72</v>
      </c>
      <c r="AS1626">
        <v>712</v>
      </c>
      <c r="AT1626" s="4">
        <v>42797</v>
      </c>
      <c r="AU1626" t="s">
        <v>73</v>
      </c>
      <c r="AV1626">
        <v>712</v>
      </c>
      <c r="AW1626" s="4">
        <v>42797</v>
      </c>
      <c r="BD1626">
        <v>17.39</v>
      </c>
      <c r="BN1626" t="s">
        <v>74</v>
      </c>
    </row>
    <row r="1627" spans="1:66">
      <c r="A1627">
        <v>104048</v>
      </c>
      <c r="B1627" t="s">
        <v>374</v>
      </c>
      <c r="C1627" s="1">
        <v>43300101</v>
      </c>
      <c r="D1627" t="s">
        <v>67</v>
      </c>
      <c r="H1627" t="str">
        <f t="shared" si="214"/>
        <v>00674840152</v>
      </c>
      <c r="I1627" t="str">
        <f t="shared" si="214"/>
        <v>00674840152</v>
      </c>
      <c r="K1627" t="str">
        <f>""</f>
        <v/>
      </c>
      <c r="M1627" t="s">
        <v>68</v>
      </c>
      <c r="N1627" t="str">
        <f t="shared" si="210"/>
        <v>FOR</v>
      </c>
      <c r="O1627" t="s">
        <v>69</v>
      </c>
      <c r="P1627" t="s">
        <v>75</v>
      </c>
      <c r="Q1627">
        <v>2016</v>
      </c>
      <c r="R1627" s="4">
        <v>42514</v>
      </c>
      <c r="S1627" s="2">
        <v>42516</v>
      </c>
      <c r="T1627" s="2">
        <v>42515</v>
      </c>
      <c r="U1627" s="4">
        <v>42575</v>
      </c>
      <c r="V1627" t="s">
        <v>71</v>
      </c>
      <c r="W1627" t="str">
        <f>"          5301733582"</f>
        <v xml:space="preserve">          5301733582</v>
      </c>
      <c r="X1627" s="1">
        <v>1123.3800000000001</v>
      </c>
      <c r="Y1627">
        <v>0</v>
      </c>
      <c r="Z1627" s="5">
        <v>920.8</v>
      </c>
      <c r="AA1627" s="3">
        <v>222</v>
      </c>
      <c r="AB1627" s="5">
        <v>204417.6</v>
      </c>
      <c r="AC1627">
        <v>920.8</v>
      </c>
      <c r="AD1627">
        <v>222</v>
      </c>
      <c r="AE1627" s="1">
        <v>204417.6</v>
      </c>
      <c r="AF1627">
        <v>202.58</v>
      </c>
      <c r="AJ1627">
        <v>0</v>
      </c>
      <c r="AK1627">
        <v>0</v>
      </c>
      <c r="AL1627">
        <v>0</v>
      </c>
      <c r="AM1627">
        <v>0</v>
      </c>
      <c r="AN1627">
        <v>0</v>
      </c>
      <c r="AO1627">
        <v>0</v>
      </c>
      <c r="AP1627" s="2">
        <v>42831</v>
      </c>
      <c r="AQ1627" t="s">
        <v>72</v>
      </c>
      <c r="AR1627" t="s">
        <v>72</v>
      </c>
      <c r="AS1627">
        <v>712</v>
      </c>
      <c r="AT1627" s="4">
        <v>42797</v>
      </c>
      <c r="AU1627" t="s">
        <v>73</v>
      </c>
      <c r="AV1627">
        <v>712</v>
      </c>
      <c r="AW1627" s="4">
        <v>42797</v>
      </c>
      <c r="BD1627">
        <v>202.58</v>
      </c>
      <c r="BN1627" t="s">
        <v>74</v>
      </c>
    </row>
    <row r="1628" spans="1:66">
      <c r="A1628">
        <v>104048</v>
      </c>
      <c r="B1628" t="s">
        <v>374</v>
      </c>
      <c r="C1628" s="1">
        <v>43300101</v>
      </c>
      <c r="D1628" t="s">
        <v>67</v>
      </c>
      <c r="H1628" t="str">
        <f t="shared" si="214"/>
        <v>00674840152</v>
      </c>
      <c r="I1628" t="str">
        <f t="shared" si="214"/>
        <v>00674840152</v>
      </c>
      <c r="K1628" t="str">
        <f>""</f>
        <v/>
      </c>
      <c r="M1628" t="s">
        <v>68</v>
      </c>
      <c r="N1628" t="str">
        <f t="shared" si="210"/>
        <v>FOR</v>
      </c>
      <c r="O1628" t="s">
        <v>69</v>
      </c>
      <c r="P1628" t="s">
        <v>75</v>
      </c>
      <c r="Q1628">
        <v>2016</v>
      </c>
      <c r="R1628" s="4">
        <v>42514</v>
      </c>
      <c r="S1628" s="2">
        <v>42516</v>
      </c>
      <c r="T1628" s="2">
        <v>42515</v>
      </c>
      <c r="U1628" s="4">
        <v>42575</v>
      </c>
      <c r="V1628" t="s">
        <v>71</v>
      </c>
      <c r="W1628" t="str">
        <f>"          5301733583"</f>
        <v xml:space="preserve">          5301733583</v>
      </c>
      <c r="X1628">
        <v>643.66999999999996</v>
      </c>
      <c r="Y1628">
        <v>0</v>
      </c>
      <c r="Z1628" s="5">
        <v>527.6</v>
      </c>
      <c r="AA1628" s="3">
        <v>222</v>
      </c>
      <c r="AB1628" s="5">
        <v>117127.2</v>
      </c>
      <c r="AC1628">
        <v>527.6</v>
      </c>
      <c r="AD1628">
        <v>222</v>
      </c>
      <c r="AE1628" s="1">
        <v>117127.2</v>
      </c>
      <c r="AF1628">
        <v>116.07</v>
      </c>
      <c r="AJ1628">
        <v>0</v>
      </c>
      <c r="AK1628">
        <v>0</v>
      </c>
      <c r="AL1628">
        <v>0</v>
      </c>
      <c r="AM1628">
        <v>0</v>
      </c>
      <c r="AN1628">
        <v>0</v>
      </c>
      <c r="AO1628">
        <v>0</v>
      </c>
      <c r="AP1628" s="2">
        <v>42831</v>
      </c>
      <c r="AQ1628" t="s">
        <v>72</v>
      </c>
      <c r="AR1628" t="s">
        <v>72</v>
      </c>
      <c r="AS1628">
        <v>712</v>
      </c>
      <c r="AT1628" s="4">
        <v>42797</v>
      </c>
      <c r="AU1628" t="s">
        <v>73</v>
      </c>
      <c r="AV1628">
        <v>712</v>
      </c>
      <c r="AW1628" s="4">
        <v>42797</v>
      </c>
      <c r="BD1628">
        <v>116.07</v>
      </c>
      <c r="BN1628" t="s">
        <v>74</v>
      </c>
    </row>
    <row r="1629" spans="1:66">
      <c r="A1629">
        <v>104048</v>
      </c>
      <c r="B1629" t="s">
        <v>374</v>
      </c>
      <c r="C1629" s="1">
        <v>43300101</v>
      </c>
      <c r="D1629" t="s">
        <v>67</v>
      </c>
      <c r="H1629" t="str">
        <f t="shared" si="214"/>
        <v>00674840152</v>
      </c>
      <c r="I1629" t="str">
        <f t="shared" si="214"/>
        <v>00674840152</v>
      </c>
      <c r="K1629" t="str">
        <f>""</f>
        <v/>
      </c>
      <c r="M1629" t="s">
        <v>68</v>
      </c>
      <c r="N1629" t="str">
        <f t="shared" si="210"/>
        <v>FOR</v>
      </c>
      <c r="O1629" t="s">
        <v>69</v>
      </c>
      <c r="P1629" t="s">
        <v>75</v>
      </c>
      <c r="Q1629">
        <v>2016</v>
      </c>
      <c r="R1629" s="4">
        <v>42514</v>
      </c>
      <c r="S1629" s="2">
        <v>42516</v>
      </c>
      <c r="T1629" s="2">
        <v>42515</v>
      </c>
      <c r="U1629" s="4">
        <v>42575</v>
      </c>
      <c r="V1629" t="s">
        <v>71</v>
      </c>
      <c r="W1629" t="str">
        <f>"          5301733584"</f>
        <v xml:space="preserve">          5301733584</v>
      </c>
      <c r="X1629">
        <v>294.07</v>
      </c>
      <c r="Y1629">
        <v>0</v>
      </c>
      <c r="Z1629" s="5">
        <v>241.04</v>
      </c>
      <c r="AA1629" s="3">
        <v>222</v>
      </c>
      <c r="AB1629" s="5">
        <v>53510.879999999997</v>
      </c>
      <c r="AC1629">
        <v>241.04</v>
      </c>
      <c r="AD1629">
        <v>222</v>
      </c>
      <c r="AE1629" s="1">
        <v>53510.879999999997</v>
      </c>
      <c r="AF1629">
        <v>53.03</v>
      </c>
      <c r="AJ1629">
        <v>0</v>
      </c>
      <c r="AK1629">
        <v>0</v>
      </c>
      <c r="AL1629">
        <v>0</v>
      </c>
      <c r="AM1629">
        <v>0</v>
      </c>
      <c r="AN1629">
        <v>0</v>
      </c>
      <c r="AO1629">
        <v>0</v>
      </c>
      <c r="AP1629" s="2">
        <v>42831</v>
      </c>
      <c r="AQ1629" t="s">
        <v>72</v>
      </c>
      <c r="AR1629" t="s">
        <v>72</v>
      </c>
      <c r="AS1629">
        <v>712</v>
      </c>
      <c r="AT1629" s="4">
        <v>42797</v>
      </c>
      <c r="AU1629" t="s">
        <v>73</v>
      </c>
      <c r="AV1629">
        <v>712</v>
      </c>
      <c r="AW1629" s="4">
        <v>42797</v>
      </c>
      <c r="BD1629">
        <v>53.03</v>
      </c>
      <c r="BN1629" t="s">
        <v>74</v>
      </c>
    </row>
    <row r="1630" spans="1:66">
      <c r="A1630">
        <v>104048</v>
      </c>
      <c r="B1630" t="s">
        <v>374</v>
      </c>
      <c r="C1630" s="1">
        <v>43300101</v>
      </c>
      <c r="D1630" t="s">
        <v>67</v>
      </c>
      <c r="H1630" t="str">
        <f t="shared" si="214"/>
        <v>00674840152</v>
      </c>
      <c r="I1630" t="str">
        <f t="shared" si="214"/>
        <v>00674840152</v>
      </c>
      <c r="K1630" t="str">
        <f>""</f>
        <v/>
      </c>
      <c r="M1630" t="s">
        <v>68</v>
      </c>
      <c r="N1630" t="str">
        <f t="shared" si="210"/>
        <v>FOR</v>
      </c>
      <c r="O1630" t="s">
        <v>69</v>
      </c>
      <c r="P1630" t="s">
        <v>75</v>
      </c>
      <c r="Q1630">
        <v>2016</v>
      </c>
      <c r="R1630" s="4">
        <v>42514</v>
      </c>
      <c r="S1630" s="2">
        <v>42516</v>
      </c>
      <c r="T1630" s="2">
        <v>42515</v>
      </c>
      <c r="U1630" s="4">
        <v>42575</v>
      </c>
      <c r="V1630" t="s">
        <v>71</v>
      </c>
      <c r="W1630" t="str">
        <f>"          5301733585"</f>
        <v xml:space="preserve">          5301733585</v>
      </c>
      <c r="X1630">
        <v>285.77</v>
      </c>
      <c r="Y1630">
        <v>0</v>
      </c>
      <c r="Z1630" s="5">
        <v>234.24</v>
      </c>
      <c r="AA1630" s="3">
        <v>222</v>
      </c>
      <c r="AB1630" s="5">
        <v>52001.279999999999</v>
      </c>
      <c r="AC1630">
        <v>234.24</v>
      </c>
      <c r="AD1630">
        <v>222</v>
      </c>
      <c r="AE1630" s="1">
        <v>52001.279999999999</v>
      </c>
      <c r="AF1630">
        <v>51.53</v>
      </c>
      <c r="AJ1630">
        <v>0</v>
      </c>
      <c r="AK1630">
        <v>0</v>
      </c>
      <c r="AL1630">
        <v>0</v>
      </c>
      <c r="AM1630">
        <v>0</v>
      </c>
      <c r="AN1630">
        <v>0</v>
      </c>
      <c r="AO1630">
        <v>0</v>
      </c>
      <c r="AP1630" s="2">
        <v>42831</v>
      </c>
      <c r="AQ1630" t="s">
        <v>72</v>
      </c>
      <c r="AR1630" t="s">
        <v>72</v>
      </c>
      <c r="AS1630">
        <v>712</v>
      </c>
      <c r="AT1630" s="4">
        <v>42797</v>
      </c>
      <c r="AU1630" t="s">
        <v>73</v>
      </c>
      <c r="AV1630">
        <v>712</v>
      </c>
      <c r="AW1630" s="4">
        <v>42797</v>
      </c>
      <c r="BD1630">
        <v>51.53</v>
      </c>
      <c r="BN1630" t="s">
        <v>74</v>
      </c>
    </row>
    <row r="1631" spans="1:66">
      <c r="A1631">
        <v>104048</v>
      </c>
      <c r="B1631" t="s">
        <v>374</v>
      </c>
      <c r="C1631" s="1">
        <v>43300101</v>
      </c>
      <c r="D1631" t="s">
        <v>67</v>
      </c>
      <c r="H1631" t="str">
        <f t="shared" si="214"/>
        <v>00674840152</v>
      </c>
      <c r="I1631" t="str">
        <f t="shared" si="214"/>
        <v>00674840152</v>
      </c>
      <c r="K1631" t="str">
        <f>""</f>
        <v/>
      </c>
      <c r="M1631" t="s">
        <v>68</v>
      </c>
      <c r="N1631" t="str">
        <f t="shared" si="210"/>
        <v>FOR</v>
      </c>
      <c r="O1631" t="s">
        <v>69</v>
      </c>
      <c r="P1631" t="s">
        <v>75</v>
      </c>
      <c r="Q1631">
        <v>2016</v>
      </c>
      <c r="R1631" s="4">
        <v>42514</v>
      </c>
      <c r="S1631" s="2">
        <v>42516</v>
      </c>
      <c r="T1631" s="2">
        <v>42515</v>
      </c>
      <c r="U1631" s="4">
        <v>42575</v>
      </c>
      <c r="V1631" t="s">
        <v>71</v>
      </c>
      <c r="W1631" t="str">
        <f>"          5301733586"</f>
        <v xml:space="preserve">          5301733586</v>
      </c>
      <c r="X1631">
        <v>529.22</v>
      </c>
      <c r="Y1631">
        <v>0</v>
      </c>
      <c r="Z1631" s="5">
        <v>433.79</v>
      </c>
      <c r="AA1631" s="3">
        <v>222</v>
      </c>
      <c r="AB1631" s="5">
        <v>96301.38</v>
      </c>
      <c r="AC1631">
        <v>433.79</v>
      </c>
      <c r="AD1631">
        <v>222</v>
      </c>
      <c r="AE1631" s="1">
        <v>96301.38</v>
      </c>
      <c r="AF1631">
        <v>95.43</v>
      </c>
      <c r="AJ1631">
        <v>0</v>
      </c>
      <c r="AK1631">
        <v>0</v>
      </c>
      <c r="AL1631">
        <v>0</v>
      </c>
      <c r="AM1631">
        <v>0</v>
      </c>
      <c r="AN1631">
        <v>0</v>
      </c>
      <c r="AO1631">
        <v>0</v>
      </c>
      <c r="AP1631" s="2">
        <v>42831</v>
      </c>
      <c r="AQ1631" t="s">
        <v>72</v>
      </c>
      <c r="AR1631" t="s">
        <v>72</v>
      </c>
      <c r="AS1631">
        <v>712</v>
      </c>
      <c r="AT1631" s="4">
        <v>42797</v>
      </c>
      <c r="AU1631" t="s">
        <v>73</v>
      </c>
      <c r="AV1631">
        <v>712</v>
      </c>
      <c r="AW1631" s="4">
        <v>42797</v>
      </c>
      <c r="BD1631">
        <v>95.43</v>
      </c>
      <c r="BN1631" t="s">
        <v>74</v>
      </c>
    </row>
    <row r="1632" spans="1:66">
      <c r="A1632">
        <v>104048</v>
      </c>
      <c r="B1632" t="s">
        <v>374</v>
      </c>
      <c r="C1632" s="1">
        <v>43300101</v>
      </c>
      <c r="D1632" t="s">
        <v>67</v>
      </c>
      <c r="H1632" t="str">
        <f t="shared" si="214"/>
        <v>00674840152</v>
      </c>
      <c r="I1632" t="str">
        <f t="shared" si="214"/>
        <v>00674840152</v>
      </c>
      <c r="K1632" t="str">
        <f>""</f>
        <v/>
      </c>
      <c r="M1632" t="s">
        <v>68</v>
      </c>
      <c r="N1632" t="str">
        <f t="shared" si="210"/>
        <v>FOR</v>
      </c>
      <c r="O1632" t="s">
        <v>69</v>
      </c>
      <c r="P1632" t="s">
        <v>75</v>
      </c>
      <c r="Q1632">
        <v>2016</v>
      </c>
      <c r="R1632" s="4">
        <v>42514</v>
      </c>
      <c r="S1632" s="2">
        <v>42516</v>
      </c>
      <c r="T1632" s="2">
        <v>42515</v>
      </c>
      <c r="U1632" s="4">
        <v>42575</v>
      </c>
      <c r="V1632" t="s">
        <v>71</v>
      </c>
      <c r="W1632" t="str">
        <f>"          5301733587"</f>
        <v xml:space="preserve">          5301733587</v>
      </c>
      <c r="X1632">
        <v>979.05</v>
      </c>
      <c r="Y1632">
        <v>0</v>
      </c>
      <c r="Z1632" s="5">
        <v>802.5</v>
      </c>
      <c r="AA1632" s="3">
        <v>222</v>
      </c>
      <c r="AB1632" s="5">
        <v>178155</v>
      </c>
      <c r="AC1632">
        <v>802.5</v>
      </c>
      <c r="AD1632">
        <v>222</v>
      </c>
      <c r="AE1632" s="1">
        <v>178155</v>
      </c>
      <c r="AF1632">
        <v>176.55</v>
      </c>
      <c r="AJ1632">
        <v>0</v>
      </c>
      <c r="AK1632">
        <v>0</v>
      </c>
      <c r="AL1632">
        <v>0</v>
      </c>
      <c r="AM1632">
        <v>0</v>
      </c>
      <c r="AN1632">
        <v>0</v>
      </c>
      <c r="AO1632">
        <v>0</v>
      </c>
      <c r="AP1632" s="2">
        <v>42831</v>
      </c>
      <c r="AQ1632" t="s">
        <v>72</v>
      </c>
      <c r="AR1632" t="s">
        <v>72</v>
      </c>
      <c r="AS1632">
        <v>712</v>
      </c>
      <c r="AT1632" s="4">
        <v>42797</v>
      </c>
      <c r="AU1632" t="s">
        <v>73</v>
      </c>
      <c r="AV1632">
        <v>712</v>
      </c>
      <c r="AW1632" s="4">
        <v>42797</v>
      </c>
      <c r="BD1632">
        <v>176.55</v>
      </c>
      <c r="BN1632" t="s">
        <v>74</v>
      </c>
    </row>
    <row r="1633" spans="1:66">
      <c r="A1633">
        <v>104048</v>
      </c>
      <c r="B1633" t="s">
        <v>374</v>
      </c>
      <c r="C1633" s="1">
        <v>43300101</v>
      </c>
      <c r="D1633" t="s">
        <v>67</v>
      </c>
      <c r="H1633" t="str">
        <f t="shared" si="214"/>
        <v>00674840152</v>
      </c>
      <c r="I1633" t="str">
        <f t="shared" si="214"/>
        <v>00674840152</v>
      </c>
      <c r="K1633" t="str">
        <f>""</f>
        <v/>
      </c>
      <c r="M1633" t="s">
        <v>68</v>
      </c>
      <c r="N1633" t="str">
        <f t="shared" si="210"/>
        <v>FOR</v>
      </c>
      <c r="O1633" t="s">
        <v>69</v>
      </c>
      <c r="P1633" t="s">
        <v>75</v>
      </c>
      <c r="Q1633">
        <v>2016</v>
      </c>
      <c r="R1633" s="4">
        <v>42514</v>
      </c>
      <c r="S1633" s="2">
        <v>42516</v>
      </c>
      <c r="T1633" s="2">
        <v>42515</v>
      </c>
      <c r="U1633" s="4">
        <v>42575</v>
      </c>
      <c r="V1633" t="s">
        <v>71</v>
      </c>
      <c r="W1633" t="str">
        <f>"          5301733588"</f>
        <v xml:space="preserve">          5301733588</v>
      </c>
      <c r="X1633">
        <v>391.62</v>
      </c>
      <c r="Y1633">
        <v>0</v>
      </c>
      <c r="Z1633" s="5">
        <v>321</v>
      </c>
      <c r="AA1633" s="3">
        <v>222</v>
      </c>
      <c r="AB1633" s="5">
        <v>71262</v>
      </c>
      <c r="AC1633">
        <v>321</v>
      </c>
      <c r="AD1633">
        <v>222</v>
      </c>
      <c r="AE1633" s="1">
        <v>71262</v>
      </c>
      <c r="AF1633">
        <v>70.62</v>
      </c>
      <c r="AJ1633">
        <v>0</v>
      </c>
      <c r="AK1633">
        <v>0</v>
      </c>
      <c r="AL1633">
        <v>0</v>
      </c>
      <c r="AM1633">
        <v>0</v>
      </c>
      <c r="AN1633">
        <v>0</v>
      </c>
      <c r="AO1633">
        <v>0</v>
      </c>
      <c r="AP1633" s="2">
        <v>42831</v>
      </c>
      <c r="AQ1633" t="s">
        <v>72</v>
      </c>
      <c r="AR1633" t="s">
        <v>72</v>
      </c>
      <c r="AS1633">
        <v>712</v>
      </c>
      <c r="AT1633" s="4">
        <v>42797</v>
      </c>
      <c r="AU1633" t="s">
        <v>73</v>
      </c>
      <c r="AV1633">
        <v>712</v>
      </c>
      <c r="AW1633" s="4">
        <v>42797</v>
      </c>
      <c r="BD1633">
        <v>70.62</v>
      </c>
      <c r="BN1633" t="s">
        <v>74</v>
      </c>
    </row>
    <row r="1634" spans="1:66">
      <c r="A1634">
        <v>104048</v>
      </c>
      <c r="B1634" t="s">
        <v>374</v>
      </c>
      <c r="C1634" s="1">
        <v>43300101</v>
      </c>
      <c r="D1634" t="s">
        <v>67</v>
      </c>
      <c r="H1634" t="str">
        <f t="shared" si="214"/>
        <v>00674840152</v>
      </c>
      <c r="I1634" t="str">
        <f t="shared" si="214"/>
        <v>00674840152</v>
      </c>
      <c r="K1634" t="str">
        <f>""</f>
        <v/>
      </c>
      <c r="M1634" t="s">
        <v>68</v>
      </c>
      <c r="N1634" t="str">
        <f t="shared" si="210"/>
        <v>FOR</v>
      </c>
      <c r="O1634" t="s">
        <v>69</v>
      </c>
      <c r="P1634" t="s">
        <v>75</v>
      </c>
      <c r="Q1634">
        <v>2016</v>
      </c>
      <c r="R1634" s="4">
        <v>42514</v>
      </c>
      <c r="S1634" s="2">
        <v>42516</v>
      </c>
      <c r="T1634" s="2">
        <v>42515</v>
      </c>
      <c r="U1634" s="4">
        <v>42575</v>
      </c>
      <c r="V1634" t="s">
        <v>71</v>
      </c>
      <c r="W1634" t="str">
        <f>"          5301733589"</f>
        <v xml:space="preserve">          5301733589</v>
      </c>
      <c r="X1634">
        <v>560.71</v>
      </c>
      <c r="Y1634">
        <v>0</v>
      </c>
      <c r="Z1634" s="5">
        <v>459.6</v>
      </c>
      <c r="AA1634" s="3">
        <v>222</v>
      </c>
      <c r="AB1634" s="5">
        <v>102031.2</v>
      </c>
      <c r="AC1634">
        <v>459.6</v>
      </c>
      <c r="AD1634">
        <v>222</v>
      </c>
      <c r="AE1634" s="1">
        <v>102031.2</v>
      </c>
      <c r="AF1634">
        <v>101.11</v>
      </c>
      <c r="AJ1634">
        <v>0</v>
      </c>
      <c r="AK1634">
        <v>0</v>
      </c>
      <c r="AL1634">
        <v>0</v>
      </c>
      <c r="AM1634">
        <v>0</v>
      </c>
      <c r="AN1634">
        <v>0</v>
      </c>
      <c r="AO1634">
        <v>0</v>
      </c>
      <c r="AP1634" s="2">
        <v>42831</v>
      </c>
      <c r="AQ1634" t="s">
        <v>72</v>
      </c>
      <c r="AR1634" t="s">
        <v>72</v>
      </c>
      <c r="AS1634">
        <v>712</v>
      </c>
      <c r="AT1634" s="4">
        <v>42797</v>
      </c>
      <c r="AU1634" t="s">
        <v>73</v>
      </c>
      <c r="AV1634">
        <v>712</v>
      </c>
      <c r="AW1634" s="4">
        <v>42797</v>
      </c>
      <c r="BD1634">
        <v>101.11</v>
      </c>
      <c r="BN1634" t="s">
        <v>74</v>
      </c>
    </row>
    <row r="1635" spans="1:66">
      <c r="A1635">
        <v>104048</v>
      </c>
      <c r="B1635" t="s">
        <v>374</v>
      </c>
      <c r="C1635" s="1">
        <v>43300101</v>
      </c>
      <c r="D1635" t="s">
        <v>67</v>
      </c>
      <c r="H1635" t="str">
        <f t="shared" si="214"/>
        <v>00674840152</v>
      </c>
      <c r="I1635" t="str">
        <f t="shared" si="214"/>
        <v>00674840152</v>
      </c>
      <c r="K1635" t="str">
        <f>""</f>
        <v/>
      </c>
      <c r="M1635" t="s">
        <v>68</v>
      </c>
      <c r="N1635" t="str">
        <f t="shared" si="210"/>
        <v>FOR</v>
      </c>
      <c r="O1635" t="s">
        <v>69</v>
      </c>
      <c r="P1635" t="s">
        <v>75</v>
      </c>
      <c r="Q1635">
        <v>2016</v>
      </c>
      <c r="R1635" s="4">
        <v>42521</v>
      </c>
      <c r="S1635" s="2">
        <v>42522</v>
      </c>
      <c r="T1635" s="2">
        <v>42522</v>
      </c>
      <c r="U1635" s="4">
        <v>42582</v>
      </c>
      <c r="V1635" t="s">
        <v>71</v>
      </c>
      <c r="W1635" t="str">
        <f>"          5301735424"</f>
        <v xml:space="preserve">          5301735424</v>
      </c>
      <c r="X1635" s="1">
        <v>1258.21</v>
      </c>
      <c r="Y1635">
        <v>0</v>
      </c>
      <c r="Z1635" s="5">
        <v>1031.32</v>
      </c>
      <c r="AA1635" s="3">
        <v>215</v>
      </c>
      <c r="AB1635" s="5">
        <v>221733.8</v>
      </c>
      <c r="AC1635" s="1">
        <v>1031.32</v>
      </c>
      <c r="AD1635">
        <v>215</v>
      </c>
      <c r="AE1635" s="1">
        <v>221733.8</v>
      </c>
      <c r="AF1635">
        <v>226.89</v>
      </c>
      <c r="AJ1635">
        <v>0</v>
      </c>
      <c r="AK1635">
        <v>0</v>
      </c>
      <c r="AL1635">
        <v>0</v>
      </c>
      <c r="AM1635">
        <v>0</v>
      </c>
      <c r="AN1635">
        <v>0</v>
      </c>
      <c r="AO1635">
        <v>0</v>
      </c>
      <c r="AP1635" s="2">
        <v>42831</v>
      </c>
      <c r="AQ1635" t="s">
        <v>72</v>
      </c>
      <c r="AR1635" t="s">
        <v>72</v>
      </c>
      <c r="AS1635">
        <v>712</v>
      </c>
      <c r="AT1635" s="4">
        <v>42797</v>
      </c>
      <c r="AU1635" t="s">
        <v>73</v>
      </c>
      <c r="AV1635">
        <v>712</v>
      </c>
      <c r="AW1635" s="4">
        <v>42797</v>
      </c>
      <c r="BD1635">
        <v>226.89</v>
      </c>
      <c r="BN1635" t="s">
        <v>74</v>
      </c>
    </row>
    <row r="1636" spans="1:66">
      <c r="A1636">
        <v>104048</v>
      </c>
      <c r="B1636" t="s">
        <v>374</v>
      </c>
      <c r="C1636" s="1">
        <v>43300101</v>
      </c>
      <c r="D1636" t="s">
        <v>67</v>
      </c>
      <c r="H1636" t="str">
        <f t="shared" si="214"/>
        <v>00674840152</v>
      </c>
      <c r="I1636" t="str">
        <f t="shared" si="214"/>
        <v>00674840152</v>
      </c>
      <c r="K1636" t="str">
        <f>""</f>
        <v/>
      </c>
      <c r="M1636" t="s">
        <v>68</v>
      </c>
      <c r="N1636" t="str">
        <f t="shared" si="210"/>
        <v>FOR</v>
      </c>
      <c r="O1636" t="s">
        <v>69</v>
      </c>
      <c r="P1636" t="s">
        <v>75</v>
      </c>
      <c r="Q1636">
        <v>2016</v>
      </c>
      <c r="R1636" s="4">
        <v>42521</v>
      </c>
      <c r="S1636" s="2">
        <v>42522</v>
      </c>
      <c r="T1636" s="2">
        <v>42522</v>
      </c>
      <c r="U1636" s="4">
        <v>42582</v>
      </c>
      <c r="V1636" t="s">
        <v>71</v>
      </c>
      <c r="W1636" t="str">
        <f>"          5301735425"</f>
        <v xml:space="preserve">          5301735425</v>
      </c>
      <c r="X1636" s="1">
        <v>1464</v>
      </c>
      <c r="Y1636">
        <v>0</v>
      </c>
      <c r="Z1636" s="5">
        <v>1200</v>
      </c>
      <c r="AA1636" s="3">
        <v>215</v>
      </c>
      <c r="AB1636" s="5">
        <v>258000</v>
      </c>
      <c r="AC1636" s="1">
        <v>1200</v>
      </c>
      <c r="AD1636">
        <v>215</v>
      </c>
      <c r="AE1636" s="1">
        <v>258000</v>
      </c>
      <c r="AF1636">
        <v>264</v>
      </c>
      <c r="AJ1636">
        <v>0</v>
      </c>
      <c r="AK1636">
        <v>0</v>
      </c>
      <c r="AL1636">
        <v>0</v>
      </c>
      <c r="AM1636">
        <v>0</v>
      </c>
      <c r="AN1636">
        <v>0</v>
      </c>
      <c r="AO1636">
        <v>0</v>
      </c>
      <c r="AP1636" s="2">
        <v>42831</v>
      </c>
      <c r="AQ1636" t="s">
        <v>72</v>
      </c>
      <c r="AR1636" t="s">
        <v>72</v>
      </c>
      <c r="AS1636">
        <v>712</v>
      </c>
      <c r="AT1636" s="4">
        <v>42797</v>
      </c>
      <c r="AU1636" t="s">
        <v>73</v>
      </c>
      <c r="AV1636">
        <v>712</v>
      </c>
      <c r="AW1636" s="4">
        <v>42797</v>
      </c>
      <c r="BD1636">
        <v>264</v>
      </c>
      <c r="BN1636" t="s">
        <v>74</v>
      </c>
    </row>
    <row r="1637" spans="1:66">
      <c r="A1637">
        <v>104048</v>
      </c>
      <c r="B1637" t="s">
        <v>374</v>
      </c>
      <c r="C1637" s="1">
        <v>43300101</v>
      </c>
      <c r="D1637" t="s">
        <v>67</v>
      </c>
      <c r="H1637" t="str">
        <f t="shared" si="214"/>
        <v>00674840152</v>
      </c>
      <c r="I1637" t="str">
        <f t="shared" si="214"/>
        <v>00674840152</v>
      </c>
      <c r="K1637" t="str">
        <f>""</f>
        <v/>
      </c>
      <c r="M1637" t="s">
        <v>68</v>
      </c>
      <c r="N1637" t="str">
        <f t="shared" si="210"/>
        <v>FOR</v>
      </c>
      <c r="O1637" t="s">
        <v>69</v>
      </c>
      <c r="P1637" t="s">
        <v>75</v>
      </c>
      <c r="Q1637">
        <v>2016</v>
      </c>
      <c r="R1637" s="4">
        <v>42521</v>
      </c>
      <c r="S1637" s="2">
        <v>42522</v>
      </c>
      <c r="T1637" s="2">
        <v>42522</v>
      </c>
      <c r="U1637" s="4">
        <v>42582</v>
      </c>
      <c r="V1637" t="s">
        <v>71</v>
      </c>
      <c r="W1637" t="str">
        <f>"          5301735426"</f>
        <v xml:space="preserve">          5301735426</v>
      </c>
      <c r="X1637">
        <v>132.49</v>
      </c>
      <c r="Y1637">
        <v>0</v>
      </c>
      <c r="Z1637" s="5">
        <v>108.6</v>
      </c>
      <c r="AA1637" s="3">
        <v>215</v>
      </c>
      <c r="AB1637" s="5">
        <v>23349</v>
      </c>
      <c r="AC1637">
        <v>108.6</v>
      </c>
      <c r="AD1637">
        <v>215</v>
      </c>
      <c r="AE1637" s="1">
        <v>23349</v>
      </c>
      <c r="AF1637">
        <v>23.89</v>
      </c>
      <c r="AJ1637">
        <v>0</v>
      </c>
      <c r="AK1637">
        <v>0</v>
      </c>
      <c r="AL1637">
        <v>0</v>
      </c>
      <c r="AM1637">
        <v>0</v>
      </c>
      <c r="AN1637">
        <v>0</v>
      </c>
      <c r="AO1637">
        <v>0</v>
      </c>
      <c r="AP1637" s="2">
        <v>42831</v>
      </c>
      <c r="AQ1637" t="s">
        <v>72</v>
      </c>
      <c r="AR1637" t="s">
        <v>72</v>
      </c>
      <c r="AS1637">
        <v>712</v>
      </c>
      <c r="AT1637" s="4">
        <v>42797</v>
      </c>
      <c r="AU1637" t="s">
        <v>73</v>
      </c>
      <c r="AV1637">
        <v>712</v>
      </c>
      <c r="AW1637" s="4">
        <v>42797</v>
      </c>
      <c r="BD1637">
        <v>23.89</v>
      </c>
      <c r="BN1637" t="s">
        <v>74</v>
      </c>
    </row>
    <row r="1638" spans="1:66">
      <c r="A1638">
        <v>104048</v>
      </c>
      <c r="B1638" t="s">
        <v>374</v>
      </c>
      <c r="C1638" s="1">
        <v>43300101</v>
      </c>
      <c r="D1638" t="s">
        <v>67</v>
      </c>
      <c r="H1638" t="str">
        <f t="shared" si="214"/>
        <v>00674840152</v>
      </c>
      <c r="I1638" t="str">
        <f t="shared" si="214"/>
        <v>00674840152</v>
      </c>
      <c r="K1638" t="str">
        <f>""</f>
        <v/>
      </c>
      <c r="M1638" t="s">
        <v>68</v>
      </c>
      <c r="N1638" t="str">
        <f t="shared" si="210"/>
        <v>FOR</v>
      </c>
      <c r="O1638" t="s">
        <v>69</v>
      </c>
      <c r="P1638" t="s">
        <v>75</v>
      </c>
      <c r="Q1638">
        <v>2016</v>
      </c>
      <c r="R1638" s="4">
        <v>42521</v>
      </c>
      <c r="S1638" s="2">
        <v>42522</v>
      </c>
      <c r="T1638" s="2">
        <v>42522</v>
      </c>
      <c r="U1638" s="4">
        <v>42582</v>
      </c>
      <c r="V1638" t="s">
        <v>71</v>
      </c>
      <c r="W1638" t="str">
        <f>"          5301735427"</f>
        <v xml:space="preserve">          5301735427</v>
      </c>
      <c r="X1638">
        <v>132.49</v>
      </c>
      <c r="Y1638">
        <v>0</v>
      </c>
      <c r="Z1638" s="5">
        <v>108.6</v>
      </c>
      <c r="AA1638" s="3">
        <v>215</v>
      </c>
      <c r="AB1638" s="5">
        <v>23349</v>
      </c>
      <c r="AC1638">
        <v>108.6</v>
      </c>
      <c r="AD1638">
        <v>215</v>
      </c>
      <c r="AE1638" s="1">
        <v>23349</v>
      </c>
      <c r="AF1638">
        <v>23.89</v>
      </c>
      <c r="AJ1638">
        <v>0</v>
      </c>
      <c r="AK1638">
        <v>0</v>
      </c>
      <c r="AL1638">
        <v>0</v>
      </c>
      <c r="AM1638">
        <v>0</v>
      </c>
      <c r="AN1638">
        <v>0</v>
      </c>
      <c r="AO1638">
        <v>0</v>
      </c>
      <c r="AP1638" s="2">
        <v>42831</v>
      </c>
      <c r="AQ1638" t="s">
        <v>72</v>
      </c>
      <c r="AR1638" t="s">
        <v>72</v>
      </c>
      <c r="AS1638">
        <v>712</v>
      </c>
      <c r="AT1638" s="4">
        <v>42797</v>
      </c>
      <c r="AU1638" t="s">
        <v>73</v>
      </c>
      <c r="AV1638">
        <v>712</v>
      </c>
      <c r="AW1638" s="4">
        <v>42797</v>
      </c>
      <c r="BD1638">
        <v>23.89</v>
      </c>
      <c r="BN1638" t="s">
        <v>74</v>
      </c>
    </row>
    <row r="1639" spans="1:66">
      <c r="A1639">
        <v>104054</v>
      </c>
      <c r="B1639" t="s">
        <v>375</v>
      </c>
      <c r="C1639" s="1">
        <v>43300101</v>
      </c>
      <c r="D1639" t="s">
        <v>67</v>
      </c>
      <c r="H1639" t="str">
        <f>"00136740404"</f>
        <v>00136740404</v>
      </c>
      <c r="I1639" t="str">
        <f>"00136740404"</f>
        <v>00136740404</v>
      </c>
      <c r="K1639" t="str">
        <f>""</f>
        <v/>
      </c>
      <c r="M1639" t="s">
        <v>68</v>
      </c>
      <c r="N1639" t="str">
        <f t="shared" si="210"/>
        <v>FOR</v>
      </c>
      <c r="O1639" t="s">
        <v>69</v>
      </c>
      <c r="P1639" t="s">
        <v>75</v>
      </c>
      <c r="Q1639">
        <v>2016</v>
      </c>
      <c r="R1639" s="4">
        <v>42460</v>
      </c>
      <c r="S1639" s="2">
        <v>42464</v>
      </c>
      <c r="T1639" s="2">
        <v>42460</v>
      </c>
      <c r="U1639" s="4">
        <v>42520</v>
      </c>
      <c r="V1639" t="s">
        <v>71</v>
      </c>
      <c r="W1639" t="str">
        <f>"             2630/PA"</f>
        <v xml:space="preserve">             2630/PA</v>
      </c>
      <c r="X1639" s="1">
        <v>1220</v>
      </c>
      <c r="Y1639">
        <v>0</v>
      </c>
      <c r="Z1639" s="5">
        <v>1000</v>
      </c>
      <c r="AA1639" s="3">
        <v>248</v>
      </c>
      <c r="AB1639" s="5">
        <v>248000</v>
      </c>
      <c r="AC1639" s="1">
        <v>1000</v>
      </c>
      <c r="AD1639">
        <v>248</v>
      </c>
      <c r="AE1639" s="1">
        <v>248000</v>
      </c>
      <c r="AF1639">
        <v>0</v>
      </c>
      <c r="AJ1639">
        <v>0</v>
      </c>
      <c r="AK1639">
        <v>0</v>
      </c>
      <c r="AL1639">
        <v>0</v>
      </c>
      <c r="AM1639">
        <v>0</v>
      </c>
      <c r="AN1639">
        <v>0</v>
      </c>
      <c r="AO1639">
        <v>0</v>
      </c>
      <c r="AP1639" s="2">
        <v>42831</v>
      </c>
      <c r="AQ1639" t="s">
        <v>72</v>
      </c>
      <c r="AR1639" t="s">
        <v>72</v>
      </c>
      <c r="AS1639">
        <v>219</v>
      </c>
      <c r="AT1639" s="4">
        <v>42768</v>
      </c>
      <c r="AU1639" t="s">
        <v>73</v>
      </c>
      <c r="AV1639">
        <v>219</v>
      </c>
      <c r="AW1639" s="4">
        <v>42768</v>
      </c>
      <c r="BD1639">
        <v>0</v>
      </c>
      <c r="BN1639" t="s">
        <v>74</v>
      </c>
    </row>
    <row r="1640" spans="1:66">
      <c r="A1640">
        <v>104054</v>
      </c>
      <c r="B1640" t="s">
        <v>375</v>
      </c>
      <c r="C1640" s="1">
        <v>43300101</v>
      </c>
      <c r="D1640" t="s">
        <v>67</v>
      </c>
      <c r="H1640" t="str">
        <f>"00136740404"</f>
        <v>00136740404</v>
      </c>
      <c r="I1640" t="str">
        <f>"00136740404"</f>
        <v>00136740404</v>
      </c>
      <c r="K1640" t="str">
        <f>""</f>
        <v/>
      </c>
      <c r="M1640" t="s">
        <v>68</v>
      </c>
      <c r="N1640" t="str">
        <f t="shared" si="210"/>
        <v>FOR</v>
      </c>
      <c r="O1640" t="s">
        <v>69</v>
      </c>
      <c r="P1640" t="s">
        <v>75</v>
      </c>
      <c r="Q1640">
        <v>2016</v>
      </c>
      <c r="R1640" s="4">
        <v>42478</v>
      </c>
      <c r="S1640" s="2">
        <v>42481</v>
      </c>
      <c r="T1640" s="2">
        <v>42478</v>
      </c>
      <c r="U1640" s="4">
        <v>42538</v>
      </c>
      <c r="V1640" t="s">
        <v>71</v>
      </c>
      <c r="W1640" t="str">
        <f>"             3274/PA"</f>
        <v xml:space="preserve">             3274/PA</v>
      </c>
      <c r="X1640">
        <v>790.56</v>
      </c>
      <c r="Y1640">
        <v>0</v>
      </c>
      <c r="Z1640" s="5">
        <v>648</v>
      </c>
      <c r="AA1640" s="3">
        <v>230</v>
      </c>
      <c r="AB1640" s="5">
        <v>149040</v>
      </c>
      <c r="AC1640">
        <v>648</v>
      </c>
      <c r="AD1640">
        <v>230</v>
      </c>
      <c r="AE1640" s="1">
        <v>149040</v>
      </c>
      <c r="AF1640">
        <v>0</v>
      </c>
      <c r="AJ1640">
        <v>0</v>
      </c>
      <c r="AK1640">
        <v>0</v>
      </c>
      <c r="AL1640">
        <v>0</v>
      </c>
      <c r="AM1640">
        <v>0</v>
      </c>
      <c r="AN1640">
        <v>0</v>
      </c>
      <c r="AO1640">
        <v>0</v>
      </c>
      <c r="AP1640" s="2">
        <v>42831</v>
      </c>
      <c r="AQ1640" t="s">
        <v>72</v>
      </c>
      <c r="AR1640" t="s">
        <v>72</v>
      </c>
      <c r="AS1640">
        <v>219</v>
      </c>
      <c r="AT1640" s="4">
        <v>42768</v>
      </c>
      <c r="AU1640" t="s">
        <v>73</v>
      </c>
      <c r="AV1640">
        <v>219</v>
      </c>
      <c r="AW1640" s="4">
        <v>42768</v>
      </c>
      <c r="BD1640">
        <v>0</v>
      </c>
      <c r="BN1640" t="s">
        <v>74</v>
      </c>
    </row>
    <row r="1641" spans="1:66">
      <c r="A1641">
        <v>104082</v>
      </c>
      <c r="B1641" t="s">
        <v>376</v>
      </c>
      <c r="C1641" s="1">
        <v>43300101</v>
      </c>
      <c r="D1641" t="s">
        <v>67</v>
      </c>
      <c r="H1641" t="str">
        <f>"02723670960"</f>
        <v>02723670960</v>
      </c>
      <c r="I1641" t="str">
        <f>"02723670960"</f>
        <v>02723670960</v>
      </c>
      <c r="K1641" t="str">
        <f>""</f>
        <v/>
      </c>
      <c r="M1641" t="s">
        <v>68</v>
      </c>
      <c r="N1641" t="str">
        <f t="shared" si="210"/>
        <v>FOR</v>
      </c>
      <c r="O1641" t="s">
        <v>69</v>
      </c>
      <c r="P1641" t="s">
        <v>75</v>
      </c>
      <c r="Q1641">
        <v>2015</v>
      </c>
      <c r="R1641" s="4">
        <v>42275</v>
      </c>
      <c r="S1641" s="2">
        <v>42276</v>
      </c>
      <c r="T1641" s="2">
        <v>42275</v>
      </c>
      <c r="U1641" s="4">
        <v>42335</v>
      </c>
      <c r="V1641" t="s">
        <v>71</v>
      </c>
      <c r="W1641" t="str">
        <f>"           015010488"</f>
        <v xml:space="preserve">           015010488</v>
      </c>
      <c r="X1641" s="1">
        <v>18728.02</v>
      </c>
      <c r="Y1641" s="1">
        <v>-7163.72</v>
      </c>
      <c r="Z1641" s="5">
        <v>15350.84</v>
      </c>
      <c r="AA1641" s="3">
        <v>447</v>
      </c>
      <c r="AB1641" s="5">
        <v>6861825.4800000004</v>
      </c>
      <c r="AC1641" s="1">
        <v>15350.84</v>
      </c>
      <c r="AD1641">
        <v>447</v>
      </c>
      <c r="AE1641" s="1">
        <v>6861825.4800000004</v>
      </c>
      <c r="AF1641">
        <v>0</v>
      </c>
      <c r="AJ1641">
        <v>0</v>
      </c>
      <c r="AK1641">
        <v>0</v>
      </c>
      <c r="AL1641">
        <v>0</v>
      </c>
      <c r="AM1641">
        <v>0</v>
      </c>
      <c r="AN1641">
        <v>0</v>
      </c>
      <c r="AO1641">
        <v>0</v>
      </c>
      <c r="AP1641" s="2">
        <v>42831</v>
      </c>
      <c r="AQ1641" t="s">
        <v>72</v>
      </c>
      <c r="AR1641" t="s">
        <v>72</v>
      </c>
      <c r="AS1641">
        <v>480</v>
      </c>
      <c r="AT1641" s="4">
        <v>42782</v>
      </c>
      <c r="AU1641" t="s">
        <v>73</v>
      </c>
      <c r="AV1641">
        <v>480</v>
      </c>
      <c r="AW1641" s="4">
        <v>42782</v>
      </c>
      <c r="BD1641">
        <v>0</v>
      </c>
      <c r="BN1641" t="s">
        <v>74</v>
      </c>
    </row>
    <row r="1642" spans="1:66">
      <c r="A1642">
        <v>104082</v>
      </c>
      <c r="B1642" t="s">
        <v>376</v>
      </c>
      <c r="C1642" s="1">
        <v>43300101</v>
      </c>
      <c r="D1642" t="s">
        <v>67</v>
      </c>
      <c r="H1642" t="str">
        <f>"02723670960"</f>
        <v>02723670960</v>
      </c>
      <c r="I1642" t="str">
        <f>"02723670960"</f>
        <v>02723670960</v>
      </c>
      <c r="K1642" t="str">
        <f>""</f>
        <v/>
      </c>
      <c r="M1642" t="s">
        <v>68</v>
      </c>
      <c r="N1642" t="str">
        <f t="shared" ref="N1642:N1705" si="215">"FOR"</f>
        <v>FOR</v>
      </c>
      <c r="O1642" t="s">
        <v>69</v>
      </c>
      <c r="P1642" t="s">
        <v>89</v>
      </c>
      <c r="Q1642">
        <v>2015</v>
      </c>
      <c r="R1642" s="4">
        <v>42306</v>
      </c>
      <c r="S1642" s="2">
        <v>42690</v>
      </c>
      <c r="T1642" s="2">
        <v>42690</v>
      </c>
      <c r="U1642" s="4">
        <v>42750</v>
      </c>
      <c r="V1642" t="s">
        <v>71</v>
      </c>
      <c r="W1642" t="str">
        <f>"           015010600"</f>
        <v xml:space="preserve">           015010600</v>
      </c>
      <c r="X1642" s="1">
        <v>-27467.759999999998</v>
      </c>
      <c r="Y1642">
        <v>0</v>
      </c>
      <c r="Z1642" s="5">
        <v>-7163.72</v>
      </c>
      <c r="AA1642" s="3">
        <v>32</v>
      </c>
      <c r="AB1642" s="5">
        <v>-229239.04000000001</v>
      </c>
      <c r="AC1642" s="1">
        <v>-7163.72</v>
      </c>
      <c r="AD1642">
        <v>32</v>
      </c>
      <c r="AE1642" s="1">
        <v>-229239.04000000001</v>
      </c>
      <c r="AF1642" s="1">
        <v>-27467.759999999998</v>
      </c>
      <c r="AJ1642">
        <v>0</v>
      </c>
      <c r="AK1642">
        <v>0</v>
      </c>
      <c r="AL1642">
        <v>0</v>
      </c>
      <c r="AM1642">
        <v>0</v>
      </c>
      <c r="AN1642">
        <v>0</v>
      </c>
      <c r="AO1642">
        <v>0</v>
      </c>
      <c r="AP1642" s="2">
        <v>42831</v>
      </c>
      <c r="AQ1642" t="s">
        <v>72</v>
      </c>
      <c r="AR1642" t="s">
        <v>72</v>
      </c>
      <c r="AS1642">
        <v>480</v>
      </c>
      <c r="AT1642" s="4">
        <v>42782</v>
      </c>
      <c r="AU1642" t="s">
        <v>73</v>
      </c>
      <c r="AV1642">
        <v>480</v>
      </c>
      <c r="AW1642" s="4">
        <v>42782</v>
      </c>
      <c r="AZ1642" s="1">
        <v>-27467.759999999998</v>
      </c>
      <c r="BD1642">
        <v>0</v>
      </c>
      <c r="BN1642" t="s">
        <v>74</v>
      </c>
    </row>
    <row r="1643" spans="1:66">
      <c r="A1643">
        <v>104083</v>
      </c>
      <c r="B1643" t="s">
        <v>377</v>
      </c>
      <c r="C1643" s="1">
        <v>43300101</v>
      </c>
      <c r="D1643" t="s">
        <v>67</v>
      </c>
      <c r="H1643" t="str">
        <f t="shared" ref="H1643:H1675" si="216">"06324460150"</f>
        <v>06324460150</v>
      </c>
      <c r="I1643" t="str">
        <f t="shared" ref="I1643:I1675" si="217">"02804530968"</f>
        <v>02804530968</v>
      </c>
      <c r="K1643" t="str">
        <f>""</f>
        <v/>
      </c>
      <c r="M1643" t="s">
        <v>68</v>
      </c>
      <c r="N1643" t="str">
        <f t="shared" si="215"/>
        <v>FOR</v>
      </c>
      <c r="O1643" t="s">
        <v>69</v>
      </c>
      <c r="P1643" t="s">
        <v>75</v>
      </c>
      <c r="Q1643">
        <v>2016</v>
      </c>
      <c r="R1643" s="4">
        <v>42430</v>
      </c>
      <c r="S1643" s="2">
        <v>42436</v>
      </c>
      <c r="T1643" s="2">
        <v>42431</v>
      </c>
      <c r="U1643" s="4">
        <v>42491</v>
      </c>
      <c r="V1643" t="s">
        <v>71</v>
      </c>
      <c r="W1643" t="str">
        <f>"          2162011950"</f>
        <v xml:space="preserve">          2162011950</v>
      </c>
      <c r="X1643">
        <v>924.52</v>
      </c>
      <c r="Y1643">
        <v>0</v>
      </c>
      <c r="Z1643" s="5">
        <v>757.8</v>
      </c>
      <c r="AA1643" s="3">
        <v>275</v>
      </c>
      <c r="AB1643" s="5">
        <v>208395</v>
      </c>
      <c r="AC1643">
        <v>757.8</v>
      </c>
      <c r="AD1643">
        <v>275</v>
      </c>
      <c r="AE1643" s="1">
        <v>208395</v>
      </c>
      <c r="AF1643">
        <v>0</v>
      </c>
      <c r="AJ1643">
        <v>0</v>
      </c>
      <c r="AK1643">
        <v>0</v>
      </c>
      <c r="AL1643">
        <v>0</v>
      </c>
      <c r="AM1643">
        <v>0</v>
      </c>
      <c r="AN1643">
        <v>0</v>
      </c>
      <c r="AO1643">
        <v>0</v>
      </c>
      <c r="AP1643" s="2">
        <v>42831</v>
      </c>
      <c r="AQ1643" t="s">
        <v>72</v>
      </c>
      <c r="AR1643" t="s">
        <v>72</v>
      </c>
      <c r="AS1643">
        <v>180</v>
      </c>
      <c r="AT1643" s="4">
        <v>42766</v>
      </c>
      <c r="AU1643" t="s">
        <v>73</v>
      </c>
      <c r="AV1643">
        <v>180</v>
      </c>
      <c r="AW1643" s="4">
        <v>42766</v>
      </c>
      <c r="BD1643">
        <v>0</v>
      </c>
      <c r="BN1643" t="s">
        <v>74</v>
      </c>
    </row>
    <row r="1644" spans="1:66">
      <c r="A1644">
        <v>104083</v>
      </c>
      <c r="B1644" t="s">
        <v>377</v>
      </c>
      <c r="C1644" s="1">
        <v>43300101</v>
      </c>
      <c r="D1644" t="s">
        <v>67</v>
      </c>
      <c r="H1644" t="str">
        <f t="shared" si="216"/>
        <v>06324460150</v>
      </c>
      <c r="I1644" t="str">
        <f t="shared" si="217"/>
        <v>02804530968</v>
      </c>
      <c r="K1644" t="str">
        <f>""</f>
        <v/>
      </c>
      <c r="M1644" t="s">
        <v>68</v>
      </c>
      <c r="N1644" t="str">
        <f t="shared" si="215"/>
        <v>FOR</v>
      </c>
      <c r="O1644" t="s">
        <v>69</v>
      </c>
      <c r="P1644" t="s">
        <v>75</v>
      </c>
      <c r="Q1644">
        <v>2016</v>
      </c>
      <c r="R1644" s="4">
        <v>42430</v>
      </c>
      <c r="S1644" s="2">
        <v>42436</v>
      </c>
      <c r="T1644" s="2">
        <v>42431</v>
      </c>
      <c r="U1644" s="4">
        <v>42491</v>
      </c>
      <c r="V1644" t="s">
        <v>71</v>
      </c>
      <c r="W1644" t="str">
        <f>"          2162011951"</f>
        <v xml:space="preserve">          2162011951</v>
      </c>
      <c r="X1644">
        <v>259.86</v>
      </c>
      <c r="Y1644">
        <v>0</v>
      </c>
      <c r="Z1644" s="5">
        <v>213</v>
      </c>
      <c r="AA1644" s="3">
        <v>275</v>
      </c>
      <c r="AB1644" s="5">
        <v>58575</v>
      </c>
      <c r="AC1644">
        <v>213</v>
      </c>
      <c r="AD1644">
        <v>275</v>
      </c>
      <c r="AE1644" s="1">
        <v>58575</v>
      </c>
      <c r="AF1644">
        <v>0</v>
      </c>
      <c r="AJ1644">
        <v>0</v>
      </c>
      <c r="AK1644">
        <v>0</v>
      </c>
      <c r="AL1644">
        <v>0</v>
      </c>
      <c r="AM1644">
        <v>0</v>
      </c>
      <c r="AN1644">
        <v>0</v>
      </c>
      <c r="AO1644">
        <v>0</v>
      </c>
      <c r="AP1644" s="2">
        <v>42831</v>
      </c>
      <c r="AQ1644" t="s">
        <v>72</v>
      </c>
      <c r="AR1644" t="s">
        <v>72</v>
      </c>
      <c r="AS1644">
        <v>180</v>
      </c>
      <c r="AT1644" s="4">
        <v>42766</v>
      </c>
      <c r="AU1644" t="s">
        <v>73</v>
      </c>
      <c r="AV1644">
        <v>180</v>
      </c>
      <c r="AW1644" s="4">
        <v>42766</v>
      </c>
      <c r="BD1644">
        <v>0</v>
      </c>
      <c r="BN1644" t="s">
        <v>74</v>
      </c>
    </row>
    <row r="1645" spans="1:66">
      <c r="A1645">
        <v>104083</v>
      </c>
      <c r="B1645" t="s">
        <v>377</v>
      </c>
      <c r="C1645" s="1">
        <v>43300101</v>
      </c>
      <c r="D1645" t="s">
        <v>67</v>
      </c>
      <c r="H1645" t="str">
        <f t="shared" si="216"/>
        <v>06324460150</v>
      </c>
      <c r="I1645" t="str">
        <f t="shared" si="217"/>
        <v>02804530968</v>
      </c>
      <c r="K1645" t="str">
        <f>""</f>
        <v/>
      </c>
      <c r="M1645" t="s">
        <v>68</v>
      </c>
      <c r="N1645" t="str">
        <f t="shared" si="215"/>
        <v>FOR</v>
      </c>
      <c r="O1645" t="s">
        <v>69</v>
      </c>
      <c r="P1645" t="s">
        <v>75</v>
      </c>
      <c r="Q1645">
        <v>2016</v>
      </c>
      <c r="R1645" s="4">
        <v>42437</v>
      </c>
      <c r="S1645" s="2">
        <v>42438</v>
      </c>
      <c r="T1645" s="2">
        <v>42438</v>
      </c>
      <c r="U1645" s="4">
        <v>42498</v>
      </c>
      <c r="V1645" t="s">
        <v>71</v>
      </c>
      <c r="W1645" t="str">
        <f>"          2162013144"</f>
        <v xml:space="preserve">          2162013144</v>
      </c>
      <c r="X1645" s="1">
        <v>1859.22</v>
      </c>
      <c r="Y1645">
        <v>0</v>
      </c>
      <c r="Z1645" s="5">
        <v>1523.95</v>
      </c>
      <c r="AA1645" s="3">
        <v>268</v>
      </c>
      <c r="AB1645" s="5">
        <v>408418.6</v>
      </c>
      <c r="AC1645" s="1">
        <v>1523.95</v>
      </c>
      <c r="AD1645">
        <v>268</v>
      </c>
      <c r="AE1645" s="1">
        <v>408418.6</v>
      </c>
      <c r="AF1645">
        <v>0</v>
      </c>
      <c r="AJ1645">
        <v>0</v>
      </c>
      <c r="AK1645">
        <v>0</v>
      </c>
      <c r="AL1645">
        <v>0</v>
      </c>
      <c r="AM1645">
        <v>0</v>
      </c>
      <c r="AN1645">
        <v>0</v>
      </c>
      <c r="AO1645">
        <v>0</v>
      </c>
      <c r="AP1645" s="2">
        <v>42831</v>
      </c>
      <c r="AQ1645" t="s">
        <v>72</v>
      </c>
      <c r="AR1645" t="s">
        <v>72</v>
      </c>
      <c r="AS1645">
        <v>180</v>
      </c>
      <c r="AT1645" s="4">
        <v>42766</v>
      </c>
      <c r="AU1645" t="s">
        <v>73</v>
      </c>
      <c r="AV1645">
        <v>180</v>
      </c>
      <c r="AW1645" s="4">
        <v>42766</v>
      </c>
      <c r="BD1645">
        <v>0</v>
      </c>
      <c r="BN1645" t="s">
        <v>74</v>
      </c>
    </row>
    <row r="1646" spans="1:66">
      <c r="A1646">
        <v>104083</v>
      </c>
      <c r="B1646" t="s">
        <v>377</v>
      </c>
      <c r="C1646" s="1">
        <v>43300101</v>
      </c>
      <c r="D1646" t="s">
        <v>67</v>
      </c>
      <c r="H1646" t="str">
        <f t="shared" si="216"/>
        <v>06324460150</v>
      </c>
      <c r="I1646" t="str">
        <f t="shared" si="217"/>
        <v>02804530968</v>
      </c>
      <c r="K1646" t="str">
        <f>""</f>
        <v/>
      </c>
      <c r="M1646" t="s">
        <v>68</v>
      </c>
      <c r="N1646" t="str">
        <f t="shared" si="215"/>
        <v>FOR</v>
      </c>
      <c r="O1646" t="s">
        <v>69</v>
      </c>
      <c r="P1646" t="s">
        <v>75</v>
      </c>
      <c r="Q1646">
        <v>2016</v>
      </c>
      <c r="R1646" s="4">
        <v>42438</v>
      </c>
      <c r="S1646" s="2">
        <v>42443</v>
      </c>
      <c r="T1646" s="2">
        <v>42439</v>
      </c>
      <c r="U1646" s="4">
        <v>42499</v>
      </c>
      <c r="V1646" t="s">
        <v>71</v>
      </c>
      <c r="W1646" t="str">
        <f>"          2162013403"</f>
        <v xml:space="preserve">          2162013403</v>
      </c>
      <c r="X1646" s="1">
        <v>1099.43</v>
      </c>
      <c r="Y1646">
        <v>0</v>
      </c>
      <c r="Z1646" s="5">
        <v>901.17</v>
      </c>
      <c r="AA1646" s="3">
        <v>267</v>
      </c>
      <c r="AB1646" s="5">
        <v>240612.39</v>
      </c>
      <c r="AC1646">
        <v>901.17</v>
      </c>
      <c r="AD1646">
        <v>267</v>
      </c>
      <c r="AE1646" s="1">
        <v>240612.39</v>
      </c>
      <c r="AF1646">
        <v>0</v>
      </c>
      <c r="AJ1646">
        <v>0</v>
      </c>
      <c r="AK1646">
        <v>0</v>
      </c>
      <c r="AL1646">
        <v>0</v>
      </c>
      <c r="AM1646">
        <v>0</v>
      </c>
      <c r="AN1646">
        <v>0</v>
      </c>
      <c r="AO1646">
        <v>0</v>
      </c>
      <c r="AP1646" s="2">
        <v>42831</v>
      </c>
      <c r="AQ1646" t="s">
        <v>72</v>
      </c>
      <c r="AR1646" t="s">
        <v>72</v>
      </c>
      <c r="AS1646">
        <v>180</v>
      </c>
      <c r="AT1646" s="4">
        <v>42766</v>
      </c>
      <c r="AU1646" t="s">
        <v>73</v>
      </c>
      <c r="AV1646">
        <v>180</v>
      </c>
      <c r="AW1646" s="4">
        <v>42766</v>
      </c>
      <c r="BD1646">
        <v>0</v>
      </c>
      <c r="BN1646" t="s">
        <v>74</v>
      </c>
    </row>
    <row r="1647" spans="1:66">
      <c r="A1647">
        <v>104083</v>
      </c>
      <c r="B1647" t="s">
        <v>377</v>
      </c>
      <c r="C1647" s="1">
        <v>43300101</v>
      </c>
      <c r="D1647" t="s">
        <v>67</v>
      </c>
      <c r="H1647" t="str">
        <f t="shared" si="216"/>
        <v>06324460150</v>
      </c>
      <c r="I1647" t="str">
        <f t="shared" si="217"/>
        <v>02804530968</v>
      </c>
      <c r="K1647" t="str">
        <f>""</f>
        <v/>
      </c>
      <c r="M1647" t="s">
        <v>68</v>
      </c>
      <c r="N1647" t="str">
        <f t="shared" si="215"/>
        <v>FOR</v>
      </c>
      <c r="O1647" t="s">
        <v>69</v>
      </c>
      <c r="P1647" t="s">
        <v>75</v>
      </c>
      <c r="Q1647">
        <v>2016</v>
      </c>
      <c r="R1647" s="4">
        <v>42454</v>
      </c>
      <c r="S1647" s="2">
        <v>42455</v>
      </c>
      <c r="T1647" s="2">
        <v>42455</v>
      </c>
      <c r="U1647" s="4">
        <v>42515</v>
      </c>
      <c r="V1647" t="s">
        <v>71</v>
      </c>
      <c r="W1647" t="str">
        <f>"          2162017524"</f>
        <v xml:space="preserve">          2162017524</v>
      </c>
      <c r="X1647">
        <v>499.59</v>
      </c>
      <c r="Y1647">
        <v>0</v>
      </c>
      <c r="Z1647" s="5">
        <v>409.5</v>
      </c>
      <c r="AA1647" s="3">
        <v>251</v>
      </c>
      <c r="AB1647" s="5">
        <v>102784.5</v>
      </c>
      <c r="AC1647">
        <v>409.5</v>
      </c>
      <c r="AD1647">
        <v>251</v>
      </c>
      <c r="AE1647" s="1">
        <v>102784.5</v>
      </c>
      <c r="AF1647">
        <v>0</v>
      </c>
      <c r="AJ1647">
        <v>0</v>
      </c>
      <c r="AK1647">
        <v>0</v>
      </c>
      <c r="AL1647">
        <v>0</v>
      </c>
      <c r="AM1647">
        <v>0</v>
      </c>
      <c r="AN1647">
        <v>0</v>
      </c>
      <c r="AO1647">
        <v>0</v>
      </c>
      <c r="AP1647" s="2">
        <v>42831</v>
      </c>
      <c r="AQ1647" t="s">
        <v>72</v>
      </c>
      <c r="AR1647" t="s">
        <v>72</v>
      </c>
      <c r="AS1647">
        <v>180</v>
      </c>
      <c r="AT1647" s="4">
        <v>42766</v>
      </c>
      <c r="AU1647" t="s">
        <v>73</v>
      </c>
      <c r="AV1647">
        <v>180</v>
      </c>
      <c r="AW1647" s="4">
        <v>42766</v>
      </c>
      <c r="BD1647">
        <v>0</v>
      </c>
      <c r="BN1647" t="s">
        <v>74</v>
      </c>
    </row>
    <row r="1648" spans="1:66">
      <c r="A1648">
        <v>104083</v>
      </c>
      <c r="B1648" t="s">
        <v>377</v>
      </c>
      <c r="C1648" s="1">
        <v>43300101</v>
      </c>
      <c r="D1648" t="s">
        <v>67</v>
      </c>
      <c r="H1648" t="str">
        <f t="shared" si="216"/>
        <v>06324460150</v>
      </c>
      <c r="I1648" t="str">
        <f t="shared" si="217"/>
        <v>02804530968</v>
      </c>
      <c r="K1648" t="str">
        <f>""</f>
        <v/>
      </c>
      <c r="M1648" t="s">
        <v>68</v>
      </c>
      <c r="N1648" t="str">
        <f t="shared" si="215"/>
        <v>FOR</v>
      </c>
      <c r="O1648" t="s">
        <v>69</v>
      </c>
      <c r="P1648" t="s">
        <v>75</v>
      </c>
      <c r="Q1648">
        <v>2016</v>
      </c>
      <c r="R1648" s="4">
        <v>42454</v>
      </c>
      <c r="S1648" s="2">
        <v>42455</v>
      </c>
      <c r="T1648" s="2">
        <v>42455</v>
      </c>
      <c r="U1648" s="4">
        <v>42515</v>
      </c>
      <c r="V1648" t="s">
        <v>71</v>
      </c>
      <c r="W1648" t="str">
        <f>"          2162017525"</f>
        <v xml:space="preserve">          2162017525</v>
      </c>
      <c r="X1648">
        <v>541.67999999999995</v>
      </c>
      <c r="Y1648">
        <v>0</v>
      </c>
      <c r="Z1648" s="5">
        <v>444</v>
      </c>
      <c r="AA1648" s="3">
        <v>264</v>
      </c>
      <c r="AB1648" s="5">
        <v>117216</v>
      </c>
      <c r="AC1648">
        <v>444</v>
      </c>
      <c r="AD1648">
        <v>264</v>
      </c>
      <c r="AE1648" s="1">
        <v>117216</v>
      </c>
      <c r="AF1648">
        <v>0</v>
      </c>
      <c r="AJ1648">
        <v>0</v>
      </c>
      <c r="AK1648">
        <v>0</v>
      </c>
      <c r="AL1648">
        <v>0</v>
      </c>
      <c r="AM1648">
        <v>0</v>
      </c>
      <c r="AN1648">
        <v>0</v>
      </c>
      <c r="AO1648">
        <v>0</v>
      </c>
      <c r="AP1648" s="2">
        <v>42831</v>
      </c>
      <c r="AQ1648" t="s">
        <v>72</v>
      </c>
      <c r="AR1648" t="s">
        <v>72</v>
      </c>
      <c r="AS1648">
        <v>419</v>
      </c>
      <c r="AT1648" s="4">
        <v>42779</v>
      </c>
      <c r="AU1648" t="s">
        <v>73</v>
      </c>
      <c r="AV1648">
        <v>419</v>
      </c>
      <c r="AW1648" s="4">
        <v>42779</v>
      </c>
      <c r="BD1648">
        <v>0</v>
      </c>
      <c r="BN1648" t="s">
        <v>74</v>
      </c>
    </row>
    <row r="1649" spans="1:66">
      <c r="A1649">
        <v>104083</v>
      </c>
      <c r="B1649" t="s">
        <v>377</v>
      </c>
      <c r="C1649" s="1">
        <v>43300101</v>
      </c>
      <c r="D1649" t="s">
        <v>67</v>
      </c>
      <c r="H1649" t="str">
        <f t="shared" si="216"/>
        <v>06324460150</v>
      </c>
      <c r="I1649" t="str">
        <f t="shared" si="217"/>
        <v>02804530968</v>
      </c>
      <c r="K1649" t="str">
        <f>""</f>
        <v/>
      </c>
      <c r="M1649" t="s">
        <v>68</v>
      </c>
      <c r="N1649" t="str">
        <f t="shared" si="215"/>
        <v>FOR</v>
      </c>
      <c r="O1649" t="s">
        <v>69</v>
      </c>
      <c r="P1649" t="s">
        <v>75</v>
      </c>
      <c r="Q1649">
        <v>2016</v>
      </c>
      <c r="R1649" s="4">
        <v>42454</v>
      </c>
      <c r="S1649" s="2">
        <v>42455</v>
      </c>
      <c r="T1649" s="2">
        <v>42455</v>
      </c>
      <c r="U1649" s="4">
        <v>42515</v>
      </c>
      <c r="V1649" t="s">
        <v>71</v>
      </c>
      <c r="W1649" t="str">
        <f>"          2162017526"</f>
        <v xml:space="preserve">          2162017526</v>
      </c>
      <c r="X1649" s="1">
        <v>2088.64</v>
      </c>
      <c r="Y1649">
        <v>0</v>
      </c>
      <c r="Z1649" s="5">
        <v>1712</v>
      </c>
      <c r="AA1649" s="3">
        <v>264</v>
      </c>
      <c r="AB1649" s="5">
        <v>451968</v>
      </c>
      <c r="AC1649" s="1">
        <v>1712</v>
      </c>
      <c r="AD1649">
        <v>264</v>
      </c>
      <c r="AE1649" s="1">
        <v>451968</v>
      </c>
      <c r="AF1649">
        <v>0</v>
      </c>
      <c r="AJ1649">
        <v>0</v>
      </c>
      <c r="AK1649">
        <v>0</v>
      </c>
      <c r="AL1649">
        <v>0</v>
      </c>
      <c r="AM1649">
        <v>0</v>
      </c>
      <c r="AN1649">
        <v>0</v>
      </c>
      <c r="AO1649">
        <v>0</v>
      </c>
      <c r="AP1649" s="2">
        <v>42831</v>
      </c>
      <c r="AQ1649" t="s">
        <v>72</v>
      </c>
      <c r="AR1649" t="s">
        <v>72</v>
      </c>
      <c r="AS1649">
        <v>419</v>
      </c>
      <c r="AT1649" s="4">
        <v>42779</v>
      </c>
      <c r="AU1649" t="s">
        <v>73</v>
      </c>
      <c r="AV1649">
        <v>419</v>
      </c>
      <c r="AW1649" s="4">
        <v>42779</v>
      </c>
      <c r="BD1649">
        <v>0</v>
      </c>
      <c r="BN1649" t="s">
        <v>74</v>
      </c>
    </row>
    <row r="1650" spans="1:66">
      <c r="A1650">
        <v>104083</v>
      </c>
      <c r="B1650" t="s">
        <v>377</v>
      </c>
      <c r="C1650" s="1">
        <v>43300101</v>
      </c>
      <c r="D1650" t="s">
        <v>67</v>
      </c>
      <c r="H1650" t="str">
        <f t="shared" si="216"/>
        <v>06324460150</v>
      </c>
      <c r="I1650" t="str">
        <f t="shared" si="217"/>
        <v>02804530968</v>
      </c>
      <c r="K1650" t="str">
        <f>""</f>
        <v/>
      </c>
      <c r="M1650" t="s">
        <v>68</v>
      </c>
      <c r="N1650" t="str">
        <f t="shared" si="215"/>
        <v>FOR</v>
      </c>
      <c r="O1650" t="s">
        <v>69</v>
      </c>
      <c r="P1650" t="s">
        <v>75</v>
      </c>
      <c r="Q1650">
        <v>2016</v>
      </c>
      <c r="R1650" s="4">
        <v>42454</v>
      </c>
      <c r="S1650" s="2">
        <v>42455</v>
      </c>
      <c r="T1650" s="2">
        <v>42455</v>
      </c>
      <c r="U1650" s="4">
        <v>42515</v>
      </c>
      <c r="V1650" t="s">
        <v>71</v>
      </c>
      <c r="W1650" t="str">
        <f>"          2162017527"</f>
        <v xml:space="preserve">          2162017527</v>
      </c>
      <c r="X1650">
        <v>856.93</v>
      </c>
      <c r="Y1650">
        <v>0</v>
      </c>
      <c r="Z1650" s="5">
        <v>702.4</v>
      </c>
      <c r="AA1650" s="3">
        <v>264</v>
      </c>
      <c r="AB1650" s="5">
        <v>185433.60000000001</v>
      </c>
      <c r="AC1650">
        <v>702.4</v>
      </c>
      <c r="AD1650">
        <v>264</v>
      </c>
      <c r="AE1650" s="1">
        <v>185433.60000000001</v>
      </c>
      <c r="AF1650">
        <v>0</v>
      </c>
      <c r="AJ1650">
        <v>0</v>
      </c>
      <c r="AK1650">
        <v>0</v>
      </c>
      <c r="AL1650">
        <v>0</v>
      </c>
      <c r="AM1650">
        <v>0</v>
      </c>
      <c r="AN1650">
        <v>0</v>
      </c>
      <c r="AO1650">
        <v>0</v>
      </c>
      <c r="AP1650" s="2">
        <v>42831</v>
      </c>
      <c r="AQ1650" t="s">
        <v>72</v>
      </c>
      <c r="AR1650" t="s">
        <v>72</v>
      </c>
      <c r="AS1650">
        <v>419</v>
      </c>
      <c r="AT1650" s="4">
        <v>42779</v>
      </c>
      <c r="AU1650" t="s">
        <v>73</v>
      </c>
      <c r="AV1650">
        <v>419</v>
      </c>
      <c r="AW1650" s="4">
        <v>42779</v>
      </c>
      <c r="BD1650">
        <v>0</v>
      </c>
      <c r="BN1650" t="s">
        <v>74</v>
      </c>
    </row>
    <row r="1651" spans="1:66">
      <c r="A1651">
        <v>104083</v>
      </c>
      <c r="B1651" t="s">
        <v>377</v>
      </c>
      <c r="C1651" s="1">
        <v>43300101</v>
      </c>
      <c r="D1651" t="s">
        <v>67</v>
      </c>
      <c r="H1651" t="str">
        <f t="shared" si="216"/>
        <v>06324460150</v>
      </c>
      <c r="I1651" t="str">
        <f t="shared" si="217"/>
        <v>02804530968</v>
      </c>
      <c r="K1651" t="str">
        <f>""</f>
        <v/>
      </c>
      <c r="M1651" t="s">
        <v>68</v>
      </c>
      <c r="N1651" t="str">
        <f t="shared" si="215"/>
        <v>FOR</v>
      </c>
      <c r="O1651" t="s">
        <v>69</v>
      </c>
      <c r="P1651" t="s">
        <v>75</v>
      </c>
      <c r="Q1651">
        <v>2016</v>
      </c>
      <c r="R1651" s="4">
        <v>42468</v>
      </c>
      <c r="S1651" s="2">
        <v>42473</v>
      </c>
      <c r="T1651" s="2">
        <v>42469</v>
      </c>
      <c r="U1651" s="4">
        <v>42529</v>
      </c>
      <c r="V1651" t="s">
        <v>71</v>
      </c>
      <c r="W1651" t="str">
        <f>"          2162019672"</f>
        <v xml:space="preserve">          2162019672</v>
      </c>
      <c r="X1651" s="1">
        <v>2135.61</v>
      </c>
      <c r="Y1651">
        <v>0</v>
      </c>
      <c r="Z1651" s="5">
        <v>1750.5</v>
      </c>
      <c r="AA1651" s="3">
        <v>237</v>
      </c>
      <c r="AB1651" s="5">
        <v>414868.5</v>
      </c>
      <c r="AC1651" s="1">
        <v>1750.5</v>
      </c>
      <c r="AD1651">
        <v>237</v>
      </c>
      <c r="AE1651" s="1">
        <v>414868.5</v>
      </c>
      <c r="AF1651">
        <v>0</v>
      </c>
      <c r="AJ1651">
        <v>0</v>
      </c>
      <c r="AK1651">
        <v>0</v>
      </c>
      <c r="AL1651">
        <v>0</v>
      </c>
      <c r="AM1651">
        <v>0</v>
      </c>
      <c r="AN1651">
        <v>0</v>
      </c>
      <c r="AO1651">
        <v>0</v>
      </c>
      <c r="AP1651" s="2">
        <v>42831</v>
      </c>
      <c r="AQ1651" t="s">
        <v>72</v>
      </c>
      <c r="AR1651" t="s">
        <v>72</v>
      </c>
      <c r="AS1651">
        <v>180</v>
      </c>
      <c r="AT1651" s="4">
        <v>42766</v>
      </c>
      <c r="AU1651" t="s">
        <v>73</v>
      </c>
      <c r="AV1651">
        <v>180</v>
      </c>
      <c r="AW1651" s="4">
        <v>42766</v>
      </c>
      <c r="BD1651">
        <v>0</v>
      </c>
      <c r="BN1651" t="s">
        <v>74</v>
      </c>
    </row>
    <row r="1652" spans="1:66">
      <c r="A1652">
        <v>104083</v>
      </c>
      <c r="B1652" t="s">
        <v>377</v>
      </c>
      <c r="C1652" s="1">
        <v>43300101</v>
      </c>
      <c r="D1652" t="s">
        <v>67</v>
      </c>
      <c r="H1652" t="str">
        <f t="shared" si="216"/>
        <v>06324460150</v>
      </c>
      <c r="I1652" t="str">
        <f t="shared" si="217"/>
        <v>02804530968</v>
      </c>
      <c r="K1652" t="str">
        <f>""</f>
        <v/>
      </c>
      <c r="M1652" t="s">
        <v>68</v>
      </c>
      <c r="N1652" t="str">
        <f t="shared" si="215"/>
        <v>FOR</v>
      </c>
      <c r="O1652" t="s">
        <v>69</v>
      </c>
      <c r="P1652" t="s">
        <v>75</v>
      </c>
      <c r="Q1652">
        <v>2016</v>
      </c>
      <c r="R1652" s="4">
        <v>42468</v>
      </c>
      <c r="S1652" s="2">
        <v>42473</v>
      </c>
      <c r="T1652" s="2">
        <v>42469</v>
      </c>
      <c r="U1652" s="4">
        <v>42529</v>
      </c>
      <c r="V1652" t="s">
        <v>71</v>
      </c>
      <c r="W1652" t="str">
        <f>"          2162019673"</f>
        <v xml:space="preserve">          2162019673</v>
      </c>
      <c r="X1652">
        <v>695.4</v>
      </c>
      <c r="Y1652">
        <v>0</v>
      </c>
      <c r="Z1652" s="5">
        <v>570</v>
      </c>
      <c r="AA1652" s="3">
        <v>250</v>
      </c>
      <c r="AB1652" s="5">
        <v>142500</v>
      </c>
      <c r="AC1652">
        <v>570</v>
      </c>
      <c r="AD1652">
        <v>250</v>
      </c>
      <c r="AE1652" s="1">
        <v>142500</v>
      </c>
      <c r="AF1652">
        <v>0</v>
      </c>
      <c r="AJ1652">
        <v>0</v>
      </c>
      <c r="AK1652">
        <v>0</v>
      </c>
      <c r="AL1652">
        <v>0</v>
      </c>
      <c r="AM1652">
        <v>0</v>
      </c>
      <c r="AN1652">
        <v>0</v>
      </c>
      <c r="AO1652">
        <v>0</v>
      </c>
      <c r="AP1652" s="2">
        <v>42831</v>
      </c>
      <c r="AQ1652" t="s">
        <v>72</v>
      </c>
      <c r="AR1652" t="s">
        <v>72</v>
      </c>
      <c r="AS1652">
        <v>419</v>
      </c>
      <c r="AT1652" s="4">
        <v>42779</v>
      </c>
      <c r="AU1652" t="s">
        <v>73</v>
      </c>
      <c r="AV1652">
        <v>419</v>
      </c>
      <c r="AW1652" s="4">
        <v>42779</v>
      </c>
      <c r="BD1652">
        <v>0</v>
      </c>
      <c r="BN1652" t="s">
        <v>74</v>
      </c>
    </row>
    <row r="1653" spans="1:66">
      <c r="A1653">
        <v>104083</v>
      </c>
      <c r="B1653" t="s">
        <v>377</v>
      </c>
      <c r="C1653" s="1">
        <v>43300101</v>
      </c>
      <c r="D1653" t="s">
        <v>67</v>
      </c>
      <c r="H1653" t="str">
        <f t="shared" si="216"/>
        <v>06324460150</v>
      </c>
      <c r="I1653" t="str">
        <f t="shared" si="217"/>
        <v>02804530968</v>
      </c>
      <c r="K1653" t="str">
        <f>""</f>
        <v/>
      </c>
      <c r="M1653" t="s">
        <v>68</v>
      </c>
      <c r="N1653" t="str">
        <f t="shared" si="215"/>
        <v>FOR</v>
      </c>
      <c r="O1653" t="s">
        <v>69</v>
      </c>
      <c r="P1653" t="s">
        <v>75</v>
      </c>
      <c r="Q1653">
        <v>2016</v>
      </c>
      <c r="R1653" s="4">
        <v>42468</v>
      </c>
      <c r="S1653" s="2">
        <v>42473</v>
      </c>
      <c r="T1653" s="2">
        <v>42469</v>
      </c>
      <c r="U1653" s="4">
        <v>42529</v>
      </c>
      <c r="V1653" t="s">
        <v>71</v>
      </c>
      <c r="W1653" t="str">
        <f>"          2162019674"</f>
        <v xml:space="preserve">          2162019674</v>
      </c>
      <c r="X1653">
        <v>683.2</v>
      </c>
      <c r="Y1653">
        <v>0</v>
      </c>
      <c r="Z1653" s="5">
        <v>560</v>
      </c>
      <c r="AA1653" s="3">
        <v>237</v>
      </c>
      <c r="AB1653" s="5">
        <v>132720</v>
      </c>
      <c r="AC1653">
        <v>560</v>
      </c>
      <c r="AD1653">
        <v>237</v>
      </c>
      <c r="AE1653" s="1">
        <v>132720</v>
      </c>
      <c r="AF1653">
        <v>0</v>
      </c>
      <c r="AJ1653">
        <v>0</v>
      </c>
      <c r="AK1653">
        <v>0</v>
      </c>
      <c r="AL1653">
        <v>0</v>
      </c>
      <c r="AM1653">
        <v>0</v>
      </c>
      <c r="AN1653">
        <v>0</v>
      </c>
      <c r="AO1653">
        <v>0</v>
      </c>
      <c r="AP1653" s="2">
        <v>42831</v>
      </c>
      <c r="AQ1653" t="s">
        <v>72</v>
      </c>
      <c r="AR1653" t="s">
        <v>72</v>
      </c>
      <c r="AS1653">
        <v>180</v>
      </c>
      <c r="AT1653" s="4">
        <v>42766</v>
      </c>
      <c r="AU1653" t="s">
        <v>73</v>
      </c>
      <c r="AV1653">
        <v>180</v>
      </c>
      <c r="AW1653" s="4">
        <v>42766</v>
      </c>
      <c r="BD1653">
        <v>0</v>
      </c>
      <c r="BN1653" t="s">
        <v>74</v>
      </c>
    </row>
    <row r="1654" spans="1:66">
      <c r="A1654">
        <v>104083</v>
      </c>
      <c r="B1654" t="s">
        <v>377</v>
      </c>
      <c r="C1654" s="1">
        <v>43300101</v>
      </c>
      <c r="D1654" t="s">
        <v>67</v>
      </c>
      <c r="H1654" t="str">
        <f t="shared" si="216"/>
        <v>06324460150</v>
      </c>
      <c r="I1654" t="str">
        <f t="shared" si="217"/>
        <v>02804530968</v>
      </c>
      <c r="K1654" t="str">
        <f>""</f>
        <v/>
      </c>
      <c r="M1654" t="s">
        <v>68</v>
      </c>
      <c r="N1654" t="str">
        <f t="shared" si="215"/>
        <v>FOR</v>
      </c>
      <c r="O1654" t="s">
        <v>69</v>
      </c>
      <c r="P1654" t="s">
        <v>75</v>
      </c>
      <c r="Q1654">
        <v>2016</v>
      </c>
      <c r="R1654" s="4">
        <v>42474</v>
      </c>
      <c r="S1654" s="2">
        <v>42478</v>
      </c>
      <c r="T1654" s="2">
        <v>42475</v>
      </c>
      <c r="U1654" s="4">
        <v>42535</v>
      </c>
      <c r="V1654" t="s">
        <v>71</v>
      </c>
      <c r="W1654" t="str">
        <f>"          2162020946"</f>
        <v xml:space="preserve">          2162020946</v>
      </c>
      <c r="X1654">
        <v>868.64</v>
      </c>
      <c r="Y1654">
        <v>0</v>
      </c>
      <c r="Z1654" s="5">
        <v>712</v>
      </c>
      <c r="AA1654" s="3">
        <v>244</v>
      </c>
      <c r="AB1654" s="5">
        <v>173728</v>
      </c>
      <c r="AC1654">
        <v>712</v>
      </c>
      <c r="AD1654">
        <v>244</v>
      </c>
      <c r="AE1654" s="1">
        <v>173728</v>
      </c>
      <c r="AF1654">
        <v>0</v>
      </c>
      <c r="AJ1654">
        <v>0</v>
      </c>
      <c r="AK1654">
        <v>0</v>
      </c>
      <c r="AL1654">
        <v>0</v>
      </c>
      <c r="AM1654">
        <v>0</v>
      </c>
      <c r="AN1654">
        <v>0</v>
      </c>
      <c r="AO1654">
        <v>0</v>
      </c>
      <c r="AP1654" s="2">
        <v>42831</v>
      </c>
      <c r="AQ1654" t="s">
        <v>72</v>
      </c>
      <c r="AR1654" t="s">
        <v>72</v>
      </c>
      <c r="AS1654">
        <v>419</v>
      </c>
      <c r="AT1654" s="4">
        <v>42779</v>
      </c>
      <c r="AU1654" t="s">
        <v>73</v>
      </c>
      <c r="AV1654">
        <v>419</v>
      </c>
      <c r="AW1654" s="4">
        <v>42779</v>
      </c>
      <c r="BD1654">
        <v>0</v>
      </c>
      <c r="BN1654" t="s">
        <v>74</v>
      </c>
    </row>
    <row r="1655" spans="1:66">
      <c r="A1655">
        <v>104083</v>
      </c>
      <c r="B1655" t="s">
        <v>377</v>
      </c>
      <c r="C1655" s="1">
        <v>43300101</v>
      </c>
      <c r="D1655" t="s">
        <v>67</v>
      </c>
      <c r="H1655" t="str">
        <f t="shared" si="216"/>
        <v>06324460150</v>
      </c>
      <c r="I1655" t="str">
        <f t="shared" si="217"/>
        <v>02804530968</v>
      </c>
      <c r="K1655" t="str">
        <f>""</f>
        <v/>
      </c>
      <c r="M1655" t="s">
        <v>68</v>
      </c>
      <c r="N1655" t="str">
        <f t="shared" si="215"/>
        <v>FOR</v>
      </c>
      <c r="O1655" t="s">
        <v>69</v>
      </c>
      <c r="P1655" t="s">
        <v>75</v>
      </c>
      <c r="Q1655">
        <v>2016</v>
      </c>
      <c r="R1655" s="4">
        <v>42481</v>
      </c>
      <c r="S1655" s="2">
        <v>42487</v>
      </c>
      <c r="T1655" s="2">
        <v>42482</v>
      </c>
      <c r="U1655" s="4">
        <v>42542</v>
      </c>
      <c r="V1655" t="s">
        <v>71</v>
      </c>
      <c r="W1655" t="str">
        <f>"          2162022645"</f>
        <v xml:space="preserve">          2162022645</v>
      </c>
      <c r="X1655">
        <v>333.06</v>
      </c>
      <c r="Y1655">
        <v>0</v>
      </c>
      <c r="Z1655" s="5">
        <v>273</v>
      </c>
      <c r="AA1655" s="3">
        <v>237</v>
      </c>
      <c r="AB1655" s="5">
        <v>64701</v>
      </c>
      <c r="AC1655">
        <v>273</v>
      </c>
      <c r="AD1655">
        <v>237</v>
      </c>
      <c r="AE1655" s="1">
        <v>64701</v>
      </c>
      <c r="AF1655">
        <v>0</v>
      </c>
      <c r="AJ1655">
        <v>0</v>
      </c>
      <c r="AK1655">
        <v>0</v>
      </c>
      <c r="AL1655">
        <v>0</v>
      </c>
      <c r="AM1655">
        <v>0</v>
      </c>
      <c r="AN1655">
        <v>0</v>
      </c>
      <c r="AO1655">
        <v>0</v>
      </c>
      <c r="AP1655" s="2">
        <v>42831</v>
      </c>
      <c r="AQ1655" t="s">
        <v>72</v>
      </c>
      <c r="AR1655" t="s">
        <v>72</v>
      </c>
      <c r="AS1655">
        <v>419</v>
      </c>
      <c r="AT1655" s="4">
        <v>42779</v>
      </c>
      <c r="AU1655" t="s">
        <v>73</v>
      </c>
      <c r="AV1655">
        <v>419</v>
      </c>
      <c r="AW1655" s="4">
        <v>42779</v>
      </c>
      <c r="BD1655">
        <v>0</v>
      </c>
      <c r="BN1655" t="s">
        <v>74</v>
      </c>
    </row>
    <row r="1656" spans="1:66">
      <c r="A1656">
        <v>104083</v>
      </c>
      <c r="B1656" t="s">
        <v>377</v>
      </c>
      <c r="C1656" s="1">
        <v>43300101</v>
      </c>
      <c r="D1656" t="s">
        <v>67</v>
      </c>
      <c r="H1656" t="str">
        <f t="shared" si="216"/>
        <v>06324460150</v>
      </c>
      <c r="I1656" t="str">
        <f t="shared" si="217"/>
        <v>02804530968</v>
      </c>
      <c r="K1656" t="str">
        <f>""</f>
        <v/>
      </c>
      <c r="M1656" t="s">
        <v>68</v>
      </c>
      <c r="N1656" t="str">
        <f t="shared" si="215"/>
        <v>FOR</v>
      </c>
      <c r="O1656" t="s">
        <v>69</v>
      </c>
      <c r="P1656" t="s">
        <v>75</v>
      </c>
      <c r="Q1656">
        <v>2016</v>
      </c>
      <c r="R1656" s="4">
        <v>42481</v>
      </c>
      <c r="S1656" s="2">
        <v>42487</v>
      </c>
      <c r="T1656" s="2">
        <v>42482</v>
      </c>
      <c r="U1656" s="4">
        <v>42542</v>
      </c>
      <c r="V1656" t="s">
        <v>71</v>
      </c>
      <c r="W1656" t="str">
        <f>"          2162022646"</f>
        <v xml:space="preserve">          2162022646</v>
      </c>
      <c r="X1656">
        <v>251.2</v>
      </c>
      <c r="Y1656">
        <v>0</v>
      </c>
      <c r="Z1656" s="5">
        <v>205.9</v>
      </c>
      <c r="AA1656" s="3">
        <v>237</v>
      </c>
      <c r="AB1656" s="5">
        <v>48798.3</v>
      </c>
      <c r="AC1656">
        <v>205.9</v>
      </c>
      <c r="AD1656">
        <v>237</v>
      </c>
      <c r="AE1656" s="1">
        <v>48798.3</v>
      </c>
      <c r="AF1656">
        <v>0</v>
      </c>
      <c r="AJ1656">
        <v>0</v>
      </c>
      <c r="AK1656">
        <v>0</v>
      </c>
      <c r="AL1656">
        <v>0</v>
      </c>
      <c r="AM1656">
        <v>0</v>
      </c>
      <c r="AN1656">
        <v>0</v>
      </c>
      <c r="AO1656">
        <v>0</v>
      </c>
      <c r="AP1656" s="2">
        <v>42831</v>
      </c>
      <c r="AQ1656" t="s">
        <v>72</v>
      </c>
      <c r="AR1656" t="s">
        <v>72</v>
      </c>
      <c r="AS1656">
        <v>419</v>
      </c>
      <c r="AT1656" s="4">
        <v>42779</v>
      </c>
      <c r="AU1656" t="s">
        <v>73</v>
      </c>
      <c r="AV1656">
        <v>419</v>
      </c>
      <c r="AW1656" s="4">
        <v>42779</v>
      </c>
      <c r="BD1656">
        <v>0</v>
      </c>
      <c r="BN1656" t="s">
        <v>74</v>
      </c>
    </row>
    <row r="1657" spans="1:66">
      <c r="A1657">
        <v>104083</v>
      </c>
      <c r="B1657" t="s">
        <v>377</v>
      </c>
      <c r="C1657" s="1">
        <v>43300101</v>
      </c>
      <c r="D1657" t="s">
        <v>67</v>
      </c>
      <c r="H1657" t="str">
        <f t="shared" si="216"/>
        <v>06324460150</v>
      </c>
      <c r="I1657" t="str">
        <f t="shared" si="217"/>
        <v>02804530968</v>
      </c>
      <c r="K1657" t="str">
        <f>""</f>
        <v/>
      </c>
      <c r="M1657" t="s">
        <v>68</v>
      </c>
      <c r="N1657" t="str">
        <f t="shared" si="215"/>
        <v>FOR</v>
      </c>
      <c r="O1657" t="s">
        <v>69</v>
      </c>
      <c r="P1657" t="s">
        <v>75</v>
      </c>
      <c r="Q1657">
        <v>2016</v>
      </c>
      <c r="R1657" s="4">
        <v>42481</v>
      </c>
      <c r="S1657" s="2">
        <v>42487</v>
      </c>
      <c r="T1657" s="2">
        <v>42482</v>
      </c>
      <c r="U1657" s="4">
        <v>42542</v>
      </c>
      <c r="V1657" t="s">
        <v>71</v>
      </c>
      <c r="W1657" t="str">
        <f>"          2162022647"</f>
        <v xml:space="preserve">          2162022647</v>
      </c>
      <c r="X1657">
        <v>215.57</v>
      </c>
      <c r="Y1657">
        <v>0</v>
      </c>
      <c r="Z1657" s="5">
        <v>176.7</v>
      </c>
      <c r="AA1657" s="3">
        <v>237</v>
      </c>
      <c r="AB1657" s="5">
        <v>41877.9</v>
      </c>
      <c r="AC1657">
        <v>176.7</v>
      </c>
      <c r="AD1657">
        <v>237</v>
      </c>
      <c r="AE1657" s="1">
        <v>41877.9</v>
      </c>
      <c r="AF1657">
        <v>0</v>
      </c>
      <c r="AJ1657">
        <v>0</v>
      </c>
      <c r="AK1657">
        <v>0</v>
      </c>
      <c r="AL1657">
        <v>0</v>
      </c>
      <c r="AM1657">
        <v>0</v>
      </c>
      <c r="AN1657">
        <v>0</v>
      </c>
      <c r="AO1657">
        <v>0</v>
      </c>
      <c r="AP1657" s="2">
        <v>42831</v>
      </c>
      <c r="AQ1657" t="s">
        <v>72</v>
      </c>
      <c r="AR1657" t="s">
        <v>72</v>
      </c>
      <c r="AS1657">
        <v>419</v>
      </c>
      <c r="AT1657" s="4">
        <v>42779</v>
      </c>
      <c r="AU1657" t="s">
        <v>73</v>
      </c>
      <c r="AV1657">
        <v>419</v>
      </c>
      <c r="AW1657" s="4">
        <v>42779</v>
      </c>
      <c r="BD1657">
        <v>0</v>
      </c>
      <c r="BN1657" t="s">
        <v>74</v>
      </c>
    </row>
    <row r="1658" spans="1:66">
      <c r="A1658">
        <v>104083</v>
      </c>
      <c r="B1658" t="s">
        <v>377</v>
      </c>
      <c r="C1658" s="1">
        <v>43300101</v>
      </c>
      <c r="D1658" t="s">
        <v>67</v>
      </c>
      <c r="H1658" t="str">
        <f t="shared" si="216"/>
        <v>06324460150</v>
      </c>
      <c r="I1658" t="str">
        <f t="shared" si="217"/>
        <v>02804530968</v>
      </c>
      <c r="K1658" t="str">
        <f>""</f>
        <v/>
      </c>
      <c r="M1658" t="s">
        <v>68</v>
      </c>
      <c r="N1658" t="str">
        <f t="shared" si="215"/>
        <v>FOR</v>
      </c>
      <c r="O1658" t="s">
        <v>69</v>
      </c>
      <c r="P1658" t="s">
        <v>75</v>
      </c>
      <c r="Q1658">
        <v>2016</v>
      </c>
      <c r="R1658" s="4">
        <v>42481</v>
      </c>
      <c r="S1658" s="2">
        <v>42487</v>
      </c>
      <c r="T1658" s="2">
        <v>42482</v>
      </c>
      <c r="U1658" s="4">
        <v>42542</v>
      </c>
      <c r="V1658" t="s">
        <v>71</v>
      </c>
      <c r="W1658" t="str">
        <f>"          2162022648"</f>
        <v xml:space="preserve">          2162022648</v>
      </c>
      <c r="X1658">
        <v>642.70000000000005</v>
      </c>
      <c r="Y1658">
        <v>0</v>
      </c>
      <c r="Z1658" s="5">
        <v>526.79999999999995</v>
      </c>
      <c r="AA1658" s="3">
        <v>237</v>
      </c>
      <c r="AB1658" s="5">
        <v>124851.6</v>
      </c>
      <c r="AC1658">
        <v>526.79999999999995</v>
      </c>
      <c r="AD1658">
        <v>237</v>
      </c>
      <c r="AE1658" s="1">
        <v>124851.6</v>
      </c>
      <c r="AF1658">
        <v>0</v>
      </c>
      <c r="AJ1658">
        <v>0</v>
      </c>
      <c r="AK1658">
        <v>0</v>
      </c>
      <c r="AL1658">
        <v>0</v>
      </c>
      <c r="AM1658">
        <v>0</v>
      </c>
      <c r="AN1658">
        <v>0</v>
      </c>
      <c r="AO1658">
        <v>0</v>
      </c>
      <c r="AP1658" s="2">
        <v>42831</v>
      </c>
      <c r="AQ1658" t="s">
        <v>72</v>
      </c>
      <c r="AR1658" t="s">
        <v>72</v>
      </c>
      <c r="AS1658">
        <v>419</v>
      </c>
      <c r="AT1658" s="4">
        <v>42779</v>
      </c>
      <c r="AU1658" t="s">
        <v>73</v>
      </c>
      <c r="AV1658">
        <v>419</v>
      </c>
      <c r="AW1658" s="4">
        <v>42779</v>
      </c>
      <c r="BD1658">
        <v>0</v>
      </c>
      <c r="BN1658" t="s">
        <v>74</v>
      </c>
    </row>
    <row r="1659" spans="1:66">
      <c r="A1659">
        <v>104083</v>
      </c>
      <c r="B1659" t="s">
        <v>377</v>
      </c>
      <c r="C1659" s="1">
        <v>43300101</v>
      </c>
      <c r="D1659" t="s">
        <v>67</v>
      </c>
      <c r="H1659" t="str">
        <f t="shared" si="216"/>
        <v>06324460150</v>
      </c>
      <c r="I1659" t="str">
        <f t="shared" si="217"/>
        <v>02804530968</v>
      </c>
      <c r="K1659" t="str">
        <f>""</f>
        <v/>
      </c>
      <c r="M1659" t="s">
        <v>68</v>
      </c>
      <c r="N1659" t="str">
        <f t="shared" si="215"/>
        <v>FOR</v>
      </c>
      <c r="O1659" t="s">
        <v>69</v>
      </c>
      <c r="P1659" t="s">
        <v>75</v>
      </c>
      <c r="Q1659">
        <v>2016</v>
      </c>
      <c r="R1659" s="4">
        <v>42486</v>
      </c>
      <c r="S1659" s="2">
        <v>42488</v>
      </c>
      <c r="T1659" s="2">
        <v>42487</v>
      </c>
      <c r="U1659" s="4">
        <v>42547</v>
      </c>
      <c r="V1659" t="s">
        <v>71</v>
      </c>
      <c r="W1659" t="str">
        <f>"          2162023257"</f>
        <v xml:space="preserve">          2162023257</v>
      </c>
      <c r="X1659">
        <v>292.07</v>
      </c>
      <c r="Y1659">
        <v>0</v>
      </c>
      <c r="Z1659" s="5">
        <v>239.4</v>
      </c>
      <c r="AA1659" s="3">
        <v>232</v>
      </c>
      <c r="AB1659" s="5">
        <v>55540.800000000003</v>
      </c>
      <c r="AC1659">
        <v>239.4</v>
      </c>
      <c r="AD1659">
        <v>232</v>
      </c>
      <c r="AE1659" s="1">
        <v>55540.800000000003</v>
      </c>
      <c r="AF1659">
        <v>0</v>
      </c>
      <c r="AJ1659">
        <v>0</v>
      </c>
      <c r="AK1659">
        <v>0</v>
      </c>
      <c r="AL1659">
        <v>0</v>
      </c>
      <c r="AM1659">
        <v>0</v>
      </c>
      <c r="AN1659">
        <v>0</v>
      </c>
      <c r="AO1659">
        <v>0</v>
      </c>
      <c r="AP1659" s="2">
        <v>42831</v>
      </c>
      <c r="AQ1659" t="s">
        <v>72</v>
      </c>
      <c r="AR1659" t="s">
        <v>72</v>
      </c>
      <c r="AS1659">
        <v>419</v>
      </c>
      <c r="AT1659" s="4">
        <v>42779</v>
      </c>
      <c r="AU1659" t="s">
        <v>73</v>
      </c>
      <c r="AV1659">
        <v>419</v>
      </c>
      <c r="AW1659" s="4">
        <v>42779</v>
      </c>
      <c r="BD1659">
        <v>0</v>
      </c>
      <c r="BN1659" t="s">
        <v>74</v>
      </c>
    </row>
    <row r="1660" spans="1:66">
      <c r="A1660">
        <v>104083</v>
      </c>
      <c r="B1660" t="s">
        <v>377</v>
      </c>
      <c r="C1660" s="1">
        <v>43300101</v>
      </c>
      <c r="D1660" t="s">
        <v>67</v>
      </c>
      <c r="H1660" t="str">
        <f t="shared" si="216"/>
        <v>06324460150</v>
      </c>
      <c r="I1660" t="str">
        <f t="shared" si="217"/>
        <v>02804530968</v>
      </c>
      <c r="K1660" t="str">
        <f>""</f>
        <v/>
      </c>
      <c r="M1660" t="s">
        <v>68</v>
      </c>
      <c r="N1660" t="str">
        <f t="shared" si="215"/>
        <v>FOR</v>
      </c>
      <c r="O1660" t="s">
        <v>69</v>
      </c>
      <c r="P1660" t="s">
        <v>75</v>
      </c>
      <c r="Q1660">
        <v>2016</v>
      </c>
      <c r="R1660" s="4">
        <v>42491</v>
      </c>
      <c r="S1660" s="2">
        <v>42494</v>
      </c>
      <c r="T1660" s="2">
        <v>42493</v>
      </c>
      <c r="U1660" s="4">
        <v>42553</v>
      </c>
      <c r="V1660" t="s">
        <v>71</v>
      </c>
      <c r="W1660" t="str">
        <f>"          2162024604"</f>
        <v xml:space="preserve">          2162024604</v>
      </c>
      <c r="X1660" s="1">
        <v>3513.6</v>
      </c>
      <c r="Y1660">
        <v>0</v>
      </c>
      <c r="Z1660" s="5">
        <v>2880</v>
      </c>
      <c r="AA1660" s="3">
        <v>244</v>
      </c>
      <c r="AB1660" s="5">
        <v>702720</v>
      </c>
      <c r="AC1660" s="1">
        <v>2880</v>
      </c>
      <c r="AD1660">
        <v>244</v>
      </c>
      <c r="AE1660" s="1">
        <v>702720</v>
      </c>
      <c r="AF1660">
        <v>633.6</v>
      </c>
      <c r="AJ1660">
        <v>0</v>
      </c>
      <c r="AK1660">
        <v>0</v>
      </c>
      <c r="AL1660">
        <v>0</v>
      </c>
      <c r="AM1660">
        <v>0</v>
      </c>
      <c r="AN1660">
        <v>0</v>
      </c>
      <c r="AO1660">
        <v>0</v>
      </c>
      <c r="AP1660" s="2">
        <v>42831</v>
      </c>
      <c r="AQ1660" t="s">
        <v>72</v>
      </c>
      <c r="AR1660" t="s">
        <v>72</v>
      </c>
      <c r="AS1660">
        <v>716</v>
      </c>
      <c r="AT1660" s="4">
        <v>42797</v>
      </c>
      <c r="AU1660" t="s">
        <v>73</v>
      </c>
      <c r="AV1660">
        <v>716</v>
      </c>
      <c r="AW1660" s="4">
        <v>42797</v>
      </c>
      <c r="BD1660">
        <v>633.6</v>
      </c>
      <c r="BN1660" t="s">
        <v>74</v>
      </c>
    </row>
    <row r="1661" spans="1:66">
      <c r="A1661">
        <v>104083</v>
      </c>
      <c r="B1661" t="s">
        <v>377</v>
      </c>
      <c r="C1661" s="1">
        <v>43300101</v>
      </c>
      <c r="D1661" t="s">
        <v>67</v>
      </c>
      <c r="H1661" t="str">
        <f t="shared" si="216"/>
        <v>06324460150</v>
      </c>
      <c r="I1661" t="str">
        <f t="shared" si="217"/>
        <v>02804530968</v>
      </c>
      <c r="K1661" t="str">
        <f>""</f>
        <v/>
      </c>
      <c r="M1661" t="s">
        <v>68</v>
      </c>
      <c r="N1661" t="str">
        <f t="shared" si="215"/>
        <v>FOR</v>
      </c>
      <c r="O1661" t="s">
        <v>69</v>
      </c>
      <c r="P1661" t="s">
        <v>75</v>
      </c>
      <c r="Q1661">
        <v>2016</v>
      </c>
      <c r="R1661" s="4">
        <v>42500</v>
      </c>
      <c r="S1661" s="2">
        <v>42501</v>
      </c>
      <c r="T1661" s="2">
        <v>42501</v>
      </c>
      <c r="U1661" s="4">
        <v>42561</v>
      </c>
      <c r="V1661" t="s">
        <v>71</v>
      </c>
      <c r="W1661" t="str">
        <f>"          2162026185"</f>
        <v xml:space="preserve">          2162026185</v>
      </c>
      <c r="X1661">
        <v>270.83999999999997</v>
      </c>
      <c r="Y1661">
        <v>0</v>
      </c>
      <c r="Z1661" s="5">
        <v>222</v>
      </c>
      <c r="AA1661" s="3">
        <v>236</v>
      </c>
      <c r="AB1661" s="5">
        <v>52392</v>
      </c>
      <c r="AC1661">
        <v>222</v>
      </c>
      <c r="AD1661">
        <v>236</v>
      </c>
      <c r="AE1661" s="1">
        <v>52392</v>
      </c>
      <c r="AF1661">
        <v>48.84</v>
      </c>
      <c r="AJ1661">
        <v>0</v>
      </c>
      <c r="AK1661">
        <v>0</v>
      </c>
      <c r="AL1661">
        <v>0</v>
      </c>
      <c r="AM1661">
        <v>0</v>
      </c>
      <c r="AN1661">
        <v>0</v>
      </c>
      <c r="AO1661">
        <v>0</v>
      </c>
      <c r="AP1661" s="2">
        <v>42831</v>
      </c>
      <c r="AQ1661" t="s">
        <v>72</v>
      </c>
      <c r="AR1661" t="s">
        <v>72</v>
      </c>
      <c r="AS1661">
        <v>716</v>
      </c>
      <c r="AT1661" s="4">
        <v>42797</v>
      </c>
      <c r="AU1661" t="s">
        <v>73</v>
      </c>
      <c r="AV1661">
        <v>716</v>
      </c>
      <c r="AW1661" s="4">
        <v>42797</v>
      </c>
      <c r="BD1661">
        <v>48.84</v>
      </c>
      <c r="BN1661" t="s">
        <v>74</v>
      </c>
    </row>
    <row r="1662" spans="1:66">
      <c r="A1662">
        <v>104083</v>
      </c>
      <c r="B1662" t="s">
        <v>377</v>
      </c>
      <c r="C1662" s="1">
        <v>43300101</v>
      </c>
      <c r="D1662" t="s">
        <v>67</v>
      </c>
      <c r="H1662" t="str">
        <f t="shared" si="216"/>
        <v>06324460150</v>
      </c>
      <c r="I1662" t="str">
        <f t="shared" si="217"/>
        <v>02804530968</v>
      </c>
      <c r="K1662" t="str">
        <f>""</f>
        <v/>
      </c>
      <c r="M1662" t="s">
        <v>68</v>
      </c>
      <c r="N1662" t="str">
        <f t="shared" si="215"/>
        <v>FOR</v>
      </c>
      <c r="O1662" t="s">
        <v>69</v>
      </c>
      <c r="P1662" t="s">
        <v>75</v>
      </c>
      <c r="Q1662">
        <v>2016</v>
      </c>
      <c r="R1662" s="4">
        <v>42500</v>
      </c>
      <c r="S1662" s="2">
        <v>42502</v>
      </c>
      <c r="T1662" s="2">
        <v>42501</v>
      </c>
      <c r="U1662" s="4">
        <v>42561</v>
      </c>
      <c r="V1662" t="s">
        <v>71</v>
      </c>
      <c r="W1662" t="str">
        <f>"          2162026186"</f>
        <v xml:space="preserve">          2162026186</v>
      </c>
      <c r="X1662" s="1">
        <v>5636.4</v>
      </c>
      <c r="Y1662">
        <v>0</v>
      </c>
      <c r="Z1662" s="5">
        <v>4620</v>
      </c>
      <c r="AA1662" s="3">
        <v>236</v>
      </c>
      <c r="AB1662" s="5">
        <v>1090320</v>
      </c>
      <c r="AC1662" s="1">
        <v>4620</v>
      </c>
      <c r="AD1662">
        <v>236</v>
      </c>
      <c r="AE1662" s="1">
        <v>1090320</v>
      </c>
      <c r="AF1662" s="1">
        <v>1016.4</v>
      </c>
      <c r="AJ1662">
        <v>0</v>
      </c>
      <c r="AK1662">
        <v>0</v>
      </c>
      <c r="AL1662">
        <v>0</v>
      </c>
      <c r="AM1662">
        <v>0</v>
      </c>
      <c r="AN1662">
        <v>0</v>
      </c>
      <c r="AO1662">
        <v>0</v>
      </c>
      <c r="AP1662" s="2">
        <v>42831</v>
      </c>
      <c r="AQ1662" t="s">
        <v>72</v>
      </c>
      <c r="AR1662" t="s">
        <v>72</v>
      </c>
      <c r="AS1662">
        <v>716</v>
      </c>
      <c r="AT1662" s="4">
        <v>42797</v>
      </c>
      <c r="AU1662" t="s">
        <v>73</v>
      </c>
      <c r="AV1662">
        <v>716</v>
      </c>
      <c r="AW1662" s="4">
        <v>42797</v>
      </c>
      <c r="BD1662" s="1">
        <v>1016.4</v>
      </c>
      <c r="BN1662" t="s">
        <v>74</v>
      </c>
    </row>
    <row r="1663" spans="1:66">
      <c r="A1663">
        <v>104083</v>
      </c>
      <c r="B1663" t="s">
        <v>377</v>
      </c>
      <c r="C1663" s="1">
        <v>43300101</v>
      </c>
      <c r="D1663" t="s">
        <v>67</v>
      </c>
      <c r="H1663" t="str">
        <f t="shared" si="216"/>
        <v>06324460150</v>
      </c>
      <c r="I1663" t="str">
        <f t="shared" si="217"/>
        <v>02804530968</v>
      </c>
      <c r="K1663" t="str">
        <f>""</f>
        <v/>
      </c>
      <c r="M1663" t="s">
        <v>68</v>
      </c>
      <c r="N1663" t="str">
        <f t="shared" si="215"/>
        <v>FOR</v>
      </c>
      <c r="O1663" t="s">
        <v>69</v>
      </c>
      <c r="P1663" t="s">
        <v>75</v>
      </c>
      <c r="Q1663">
        <v>2016</v>
      </c>
      <c r="R1663" s="4">
        <v>42500</v>
      </c>
      <c r="S1663" s="2">
        <v>42502</v>
      </c>
      <c r="T1663" s="2">
        <v>42501</v>
      </c>
      <c r="U1663" s="4">
        <v>42561</v>
      </c>
      <c r="V1663" t="s">
        <v>71</v>
      </c>
      <c r="W1663" t="str">
        <f>"          2162026187"</f>
        <v xml:space="preserve">          2162026187</v>
      </c>
      <c r="X1663">
        <v>658.8</v>
      </c>
      <c r="Y1663">
        <v>0</v>
      </c>
      <c r="Z1663" s="5">
        <v>540</v>
      </c>
      <c r="AA1663" s="3">
        <v>236</v>
      </c>
      <c r="AB1663" s="5">
        <v>127440</v>
      </c>
      <c r="AC1663">
        <v>540</v>
      </c>
      <c r="AD1663">
        <v>236</v>
      </c>
      <c r="AE1663" s="1">
        <v>127440</v>
      </c>
      <c r="AF1663">
        <v>118.8</v>
      </c>
      <c r="AJ1663">
        <v>0</v>
      </c>
      <c r="AK1663">
        <v>0</v>
      </c>
      <c r="AL1663">
        <v>0</v>
      </c>
      <c r="AM1663">
        <v>0</v>
      </c>
      <c r="AN1663">
        <v>0</v>
      </c>
      <c r="AO1663">
        <v>0</v>
      </c>
      <c r="AP1663" s="2">
        <v>42831</v>
      </c>
      <c r="AQ1663" t="s">
        <v>72</v>
      </c>
      <c r="AR1663" t="s">
        <v>72</v>
      </c>
      <c r="AS1663">
        <v>716</v>
      </c>
      <c r="AT1663" s="4">
        <v>42797</v>
      </c>
      <c r="AU1663" t="s">
        <v>73</v>
      </c>
      <c r="AV1663">
        <v>716</v>
      </c>
      <c r="AW1663" s="4">
        <v>42797</v>
      </c>
      <c r="BD1663">
        <v>118.8</v>
      </c>
      <c r="BN1663" t="s">
        <v>74</v>
      </c>
    </row>
    <row r="1664" spans="1:66">
      <c r="A1664">
        <v>104083</v>
      </c>
      <c r="B1664" t="s">
        <v>377</v>
      </c>
      <c r="C1664" s="1">
        <v>43300101</v>
      </c>
      <c r="D1664" t="s">
        <v>67</v>
      </c>
      <c r="H1664" t="str">
        <f t="shared" si="216"/>
        <v>06324460150</v>
      </c>
      <c r="I1664" t="str">
        <f t="shared" si="217"/>
        <v>02804530968</v>
      </c>
      <c r="K1664" t="str">
        <f>""</f>
        <v/>
      </c>
      <c r="M1664" t="s">
        <v>68</v>
      </c>
      <c r="N1664" t="str">
        <f t="shared" si="215"/>
        <v>FOR</v>
      </c>
      <c r="O1664" t="s">
        <v>69</v>
      </c>
      <c r="P1664" t="s">
        <v>75</v>
      </c>
      <c r="Q1664">
        <v>2016</v>
      </c>
      <c r="R1664" s="4">
        <v>42500</v>
      </c>
      <c r="S1664" s="2">
        <v>42502</v>
      </c>
      <c r="T1664" s="2">
        <v>42501</v>
      </c>
      <c r="U1664" s="4">
        <v>42561</v>
      </c>
      <c r="V1664" t="s">
        <v>71</v>
      </c>
      <c r="W1664" t="str">
        <f>"          2162026188"</f>
        <v xml:space="preserve">          2162026188</v>
      </c>
      <c r="X1664" s="1">
        <v>5050.8</v>
      </c>
      <c r="Y1664">
        <v>0</v>
      </c>
      <c r="Z1664" s="5">
        <v>4140</v>
      </c>
      <c r="AA1664" s="3">
        <v>236</v>
      </c>
      <c r="AB1664" s="5">
        <v>977040</v>
      </c>
      <c r="AC1664" s="1">
        <v>4140</v>
      </c>
      <c r="AD1664">
        <v>236</v>
      </c>
      <c r="AE1664" s="1">
        <v>977040</v>
      </c>
      <c r="AF1664">
        <v>910.8</v>
      </c>
      <c r="AJ1664">
        <v>0</v>
      </c>
      <c r="AK1664">
        <v>0</v>
      </c>
      <c r="AL1664">
        <v>0</v>
      </c>
      <c r="AM1664">
        <v>0</v>
      </c>
      <c r="AN1664">
        <v>0</v>
      </c>
      <c r="AO1664">
        <v>0</v>
      </c>
      <c r="AP1664" s="2">
        <v>42831</v>
      </c>
      <c r="AQ1664" t="s">
        <v>72</v>
      </c>
      <c r="AR1664" t="s">
        <v>72</v>
      </c>
      <c r="AS1664">
        <v>716</v>
      </c>
      <c r="AT1664" s="4">
        <v>42797</v>
      </c>
      <c r="AU1664" t="s">
        <v>73</v>
      </c>
      <c r="AV1664">
        <v>716</v>
      </c>
      <c r="AW1664" s="4">
        <v>42797</v>
      </c>
      <c r="BD1664">
        <v>910.8</v>
      </c>
      <c r="BN1664" t="s">
        <v>74</v>
      </c>
    </row>
    <row r="1665" spans="1:66">
      <c r="A1665">
        <v>104083</v>
      </c>
      <c r="B1665" t="s">
        <v>377</v>
      </c>
      <c r="C1665" s="1">
        <v>43300101</v>
      </c>
      <c r="D1665" t="s">
        <v>67</v>
      </c>
      <c r="H1665" t="str">
        <f t="shared" si="216"/>
        <v>06324460150</v>
      </c>
      <c r="I1665" t="str">
        <f t="shared" si="217"/>
        <v>02804530968</v>
      </c>
      <c r="K1665" t="str">
        <f>""</f>
        <v/>
      </c>
      <c r="M1665" t="s">
        <v>68</v>
      </c>
      <c r="N1665" t="str">
        <f t="shared" si="215"/>
        <v>FOR</v>
      </c>
      <c r="O1665" t="s">
        <v>69</v>
      </c>
      <c r="P1665" t="s">
        <v>75</v>
      </c>
      <c r="Q1665">
        <v>2016</v>
      </c>
      <c r="R1665" s="4">
        <v>42501</v>
      </c>
      <c r="S1665" s="2">
        <v>42506</v>
      </c>
      <c r="T1665" s="2">
        <v>42502</v>
      </c>
      <c r="U1665" s="4">
        <v>42562</v>
      </c>
      <c r="V1665" t="s">
        <v>71</v>
      </c>
      <c r="W1665" t="str">
        <f>"          2162026491"</f>
        <v xml:space="preserve">          2162026491</v>
      </c>
      <c r="X1665">
        <v>434.93</v>
      </c>
      <c r="Y1665">
        <v>0</v>
      </c>
      <c r="Z1665" s="5">
        <v>356.5</v>
      </c>
      <c r="AA1665" s="3">
        <v>235</v>
      </c>
      <c r="AB1665" s="5">
        <v>83777.5</v>
      </c>
      <c r="AC1665">
        <v>356.5</v>
      </c>
      <c r="AD1665">
        <v>235</v>
      </c>
      <c r="AE1665" s="1">
        <v>83777.5</v>
      </c>
      <c r="AF1665">
        <v>78.430000000000007</v>
      </c>
      <c r="AJ1665">
        <v>0</v>
      </c>
      <c r="AK1665">
        <v>0</v>
      </c>
      <c r="AL1665">
        <v>0</v>
      </c>
      <c r="AM1665">
        <v>0</v>
      </c>
      <c r="AN1665">
        <v>0</v>
      </c>
      <c r="AO1665">
        <v>0</v>
      </c>
      <c r="AP1665" s="2">
        <v>42831</v>
      </c>
      <c r="AQ1665" t="s">
        <v>72</v>
      </c>
      <c r="AR1665" t="s">
        <v>72</v>
      </c>
      <c r="AS1665">
        <v>716</v>
      </c>
      <c r="AT1665" s="4">
        <v>42797</v>
      </c>
      <c r="AU1665" t="s">
        <v>73</v>
      </c>
      <c r="AV1665">
        <v>716</v>
      </c>
      <c r="AW1665" s="4">
        <v>42797</v>
      </c>
      <c r="BD1665">
        <v>78.430000000000007</v>
      </c>
      <c r="BN1665" t="s">
        <v>74</v>
      </c>
    </row>
    <row r="1666" spans="1:66">
      <c r="A1666">
        <v>104083</v>
      </c>
      <c r="B1666" t="s">
        <v>377</v>
      </c>
      <c r="C1666" s="1">
        <v>43300101</v>
      </c>
      <c r="D1666" t="s">
        <v>67</v>
      </c>
      <c r="H1666" t="str">
        <f t="shared" si="216"/>
        <v>06324460150</v>
      </c>
      <c r="I1666" t="str">
        <f t="shared" si="217"/>
        <v>02804530968</v>
      </c>
      <c r="K1666" t="str">
        <f>""</f>
        <v/>
      </c>
      <c r="M1666" t="s">
        <v>68</v>
      </c>
      <c r="N1666" t="str">
        <f t="shared" si="215"/>
        <v>FOR</v>
      </c>
      <c r="O1666" t="s">
        <v>69</v>
      </c>
      <c r="P1666" t="s">
        <v>75</v>
      </c>
      <c r="Q1666">
        <v>2016</v>
      </c>
      <c r="R1666" s="4">
        <v>42501</v>
      </c>
      <c r="S1666" s="2">
        <v>42506</v>
      </c>
      <c r="T1666" s="2">
        <v>42502</v>
      </c>
      <c r="U1666" s="4">
        <v>42562</v>
      </c>
      <c r="V1666" t="s">
        <v>71</v>
      </c>
      <c r="W1666" t="str">
        <f>"          2162026492"</f>
        <v xml:space="preserve">          2162026492</v>
      </c>
      <c r="X1666">
        <v>402.6</v>
      </c>
      <c r="Y1666">
        <v>0</v>
      </c>
      <c r="Z1666" s="5">
        <v>330</v>
      </c>
      <c r="AA1666" s="3">
        <v>235</v>
      </c>
      <c r="AB1666" s="5">
        <v>77550</v>
      </c>
      <c r="AC1666">
        <v>330</v>
      </c>
      <c r="AD1666">
        <v>235</v>
      </c>
      <c r="AE1666" s="1">
        <v>77550</v>
      </c>
      <c r="AF1666">
        <v>72.599999999999994</v>
      </c>
      <c r="AJ1666">
        <v>0</v>
      </c>
      <c r="AK1666">
        <v>0</v>
      </c>
      <c r="AL1666">
        <v>0</v>
      </c>
      <c r="AM1666">
        <v>0</v>
      </c>
      <c r="AN1666">
        <v>0</v>
      </c>
      <c r="AO1666">
        <v>0</v>
      </c>
      <c r="AP1666" s="2">
        <v>42831</v>
      </c>
      <c r="AQ1666" t="s">
        <v>72</v>
      </c>
      <c r="AR1666" t="s">
        <v>72</v>
      </c>
      <c r="AS1666">
        <v>716</v>
      </c>
      <c r="AT1666" s="4">
        <v>42797</v>
      </c>
      <c r="AU1666" t="s">
        <v>73</v>
      </c>
      <c r="AV1666">
        <v>716</v>
      </c>
      <c r="AW1666" s="4">
        <v>42797</v>
      </c>
      <c r="BD1666">
        <v>72.599999999999994</v>
      </c>
      <c r="BN1666" t="s">
        <v>74</v>
      </c>
    </row>
    <row r="1667" spans="1:66">
      <c r="A1667">
        <v>104083</v>
      </c>
      <c r="B1667" t="s">
        <v>377</v>
      </c>
      <c r="C1667" s="1">
        <v>43300101</v>
      </c>
      <c r="D1667" t="s">
        <v>67</v>
      </c>
      <c r="H1667" t="str">
        <f t="shared" si="216"/>
        <v>06324460150</v>
      </c>
      <c r="I1667" t="str">
        <f t="shared" si="217"/>
        <v>02804530968</v>
      </c>
      <c r="K1667" t="str">
        <f>""</f>
        <v/>
      </c>
      <c r="M1667" t="s">
        <v>68</v>
      </c>
      <c r="N1667" t="str">
        <f t="shared" si="215"/>
        <v>FOR</v>
      </c>
      <c r="O1667" t="s">
        <v>69</v>
      </c>
      <c r="P1667" t="s">
        <v>75</v>
      </c>
      <c r="Q1667">
        <v>2016</v>
      </c>
      <c r="R1667" s="4">
        <v>42502</v>
      </c>
      <c r="S1667" s="2">
        <v>42506</v>
      </c>
      <c r="T1667" s="2">
        <v>42503</v>
      </c>
      <c r="U1667" s="4">
        <v>42563</v>
      </c>
      <c r="V1667" t="s">
        <v>71</v>
      </c>
      <c r="W1667" t="str">
        <f>"          2162026800"</f>
        <v xml:space="preserve">          2162026800</v>
      </c>
      <c r="X1667">
        <v>658.8</v>
      </c>
      <c r="Y1667">
        <v>0</v>
      </c>
      <c r="Z1667" s="5">
        <v>540</v>
      </c>
      <c r="AA1667" s="3">
        <v>234</v>
      </c>
      <c r="AB1667" s="5">
        <v>126360</v>
      </c>
      <c r="AC1667">
        <v>540</v>
      </c>
      <c r="AD1667">
        <v>234</v>
      </c>
      <c r="AE1667" s="1">
        <v>126360</v>
      </c>
      <c r="AF1667">
        <v>118.8</v>
      </c>
      <c r="AJ1667">
        <v>0</v>
      </c>
      <c r="AK1667">
        <v>0</v>
      </c>
      <c r="AL1667">
        <v>0</v>
      </c>
      <c r="AM1667">
        <v>0</v>
      </c>
      <c r="AN1667">
        <v>0</v>
      </c>
      <c r="AO1667">
        <v>0</v>
      </c>
      <c r="AP1667" s="2">
        <v>42831</v>
      </c>
      <c r="AQ1667" t="s">
        <v>72</v>
      </c>
      <c r="AR1667" t="s">
        <v>72</v>
      </c>
      <c r="AS1667">
        <v>716</v>
      </c>
      <c r="AT1667" s="4">
        <v>42797</v>
      </c>
      <c r="AU1667" t="s">
        <v>73</v>
      </c>
      <c r="AV1667">
        <v>716</v>
      </c>
      <c r="AW1667" s="4">
        <v>42797</v>
      </c>
      <c r="BD1667">
        <v>118.8</v>
      </c>
      <c r="BN1667" t="s">
        <v>74</v>
      </c>
    </row>
    <row r="1668" spans="1:66">
      <c r="A1668">
        <v>104083</v>
      </c>
      <c r="B1668" t="s">
        <v>377</v>
      </c>
      <c r="C1668" s="1">
        <v>43300101</v>
      </c>
      <c r="D1668" t="s">
        <v>67</v>
      </c>
      <c r="H1668" t="str">
        <f t="shared" si="216"/>
        <v>06324460150</v>
      </c>
      <c r="I1668" t="str">
        <f t="shared" si="217"/>
        <v>02804530968</v>
      </c>
      <c r="K1668" t="str">
        <f>""</f>
        <v/>
      </c>
      <c r="M1668" t="s">
        <v>68</v>
      </c>
      <c r="N1668" t="str">
        <f t="shared" si="215"/>
        <v>FOR</v>
      </c>
      <c r="O1668" t="s">
        <v>69</v>
      </c>
      <c r="P1668" t="s">
        <v>75</v>
      </c>
      <c r="Q1668">
        <v>2016</v>
      </c>
      <c r="R1668" s="4">
        <v>42503</v>
      </c>
      <c r="S1668" s="2">
        <v>42506</v>
      </c>
      <c r="T1668" s="2">
        <v>42504</v>
      </c>
      <c r="U1668" s="4">
        <v>42564</v>
      </c>
      <c r="V1668" t="s">
        <v>71</v>
      </c>
      <c r="W1668" t="str">
        <f>"          2162027106"</f>
        <v xml:space="preserve">          2162027106</v>
      </c>
      <c r="X1668">
        <v>499.59</v>
      </c>
      <c r="Y1668">
        <v>0</v>
      </c>
      <c r="Z1668" s="5">
        <v>409.5</v>
      </c>
      <c r="AA1668" s="3">
        <v>233</v>
      </c>
      <c r="AB1668" s="5">
        <v>95413.5</v>
      </c>
      <c r="AC1668">
        <v>409.5</v>
      </c>
      <c r="AD1668">
        <v>233</v>
      </c>
      <c r="AE1668" s="1">
        <v>95413.5</v>
      </c>
      <c r="AF1668">
        <v>90.09</v>
      </c>
      <c r="AJ1668">
        <v>0</v>
      </c>
      <c r="AK1668">
        <v>0</v>
      </c>
      <c r="AL1668">
        <v>0</v>
      </c>
      <c r="AM1668">
        <v>0</v>
      </c>
      <c r="AN1668">
        <v>0</v>
      </c>
      <c r="AO1668">
        <v>0</v>
      </c>
      <c r="AP1668" s="2">
        <v>42831</v>
      </c>
      <c r="AQ1668" t="s">
        <v>72</v>
      </c>
      <c r="AR1668" t="s">
        <v>72</v>
      </c>
      <c r="AS1668">
        <v>716</v>
      </c>
      <c r="AT1668" s="4">
        <v>42797</v>
      </c>
      <c r="AU1668" t="s">
        <v>73</v>
      </c>
      <c r="AV1668">
        <v>716</v>
      </c>
      <c r="AW1668" s="4">
        <v>42797</v>
      </c>
      <c r="BD1668">
        <v>90.09</v>
      </c>
      <c r="BN1668" t="s">
        <v>74</v>
      </c>
    </row>
    <row r="1669" spans="1:66">
      <c r="A1669">
        <v>104083</v>
      </c>
      <c r="B1669" t="s">
        <v>377</v>
      </c>
      <c r="C1669" s="1">
        <v>43300101</v>
      </c>
      <c r="D1669" t="s">
        <v>67</v>
      </c>
      <c r="H1669" t="str">
        <f t="shared" si="216"/>
        <v>06324460150</v>
      </c>
      <c r="I1669" t="str">
        <f t="shared" si="217"/>
        <v>02804530968</v>
      </c>
      <c r="K1669" t="str">
        <f>""</f>
        <v/>
      </c>
      <c r="M1669" t="s">
        <v>68</v>
      </c>
      <c r="N1669" t="str">
        <f t="shared" si="215"/>
        <v>FOR</v>
      </c>
      <c r="O1669" t="s">
        <v>69</v>
      </c>
      <c r="P1669" t="s">
        <v>75</v>
      </c>
      <c r="Q1669">
        <v>2016</v>
      </c>
      <c r="R1669" s="4">
        <v>42503</v>
      </c>
      <c r="S1669" s="2">
        <v>42506</v>
      </c>
      <c r="T1669" s="2">
        <v>42504</v>
      </c>
      <c r="U1669" s="4">
        <v>42564</v>
      </c>
      <c r="V1669" t="s">
        <v>71</v>
      </c>
      <c r="W1669" t="str">
        <f>"          2162027107"</f>
        <v xml:space="preserve">          2162027107</v>
      </c>
      <c r="X1669" s="1">
        <v>1346.39</v>
      </c>
      <c r="Y1669">
        <v>0</v>
      </c>
      <c r="Z1669" s="5">
        <v>1103.5999999999999</v>
      </c>
      <c r="AA1669" s="3">
        <v>233</v>
      </c>
      <c r="AB1669" s="5">
        <v>257138.8</v>
      </c>
      <c r="AC1669" s="1">
        <v>1103.5999999999999</v>
      </c>
      <c r="AD1669">
        <v>233</v>
      </c>
      <c r="AE1669" s="1">
        <v>257138.8</v>
      </c>
      <c r="AF1669">
        <v>242.79</v>
      </c>
      <c r="AJ1669">
        <v>0</v>
      </c>
      <c r="AK1669">
        <v>0</v>
      </c>
      <c r="AL1669">
        <v>0</v>
      </c>
      <c r="AM1669">
        <v>0</v>
      </c>
      <c r="AN1669">
        <v>0</v>
      </c>
      <c r="AO1669">
        <v>0</v>
      </c>
      <c r="AP1669" s="2">
        <v>42831</v>
      </c>
      <c r="AQ1669" t="s">
        <v>72</v>
      </c>
      <c r="AR1669" t="s">
        <v>72</v>
      </c>
      <c r="AS1669">
        <v>716</v>
      </c>
      <c r="AT1669" s="4">
        <v>42797</v>
      </c>
      <c r="AU1669" t="s">
        <v>73</v>
      </c>
      <c r="AV1669">
        <v>716</v>
      </c>
      <c r="AW1669" s="4">
        <v>42797</v>
      </c>
      <c r="BD1669">
        <v>242.79</v>
      </c>
      <c r="BN1669" t="s">
        <v>74</v>
      </c>
    </row>
    <row r="1670" spans="1:66">
      <c r="A1670">
        <v>104083</v>
      </c>
      <c r="B1670" t="s">
        <v>377</v>
      </c>
      <c r="C1670" s="1">
        <v>43300101</v>
      </c>
      <c r="D1670" t="s">
        <v>67</v>
      </c>
      <c r="H1670" t="str">
        <f t="shared" si="216"/>
        <v>06324460150</v>
      </c>
      <c r="I1670" t="str">
        <f t="shared" si="217"/>
        <v>02804530968</v>
      </c>
      <c r="K1670" t="str">
        <f>""</f>
        <v/>
      </c>
      <c r="M1670" t="s">
        <v>68</v>
      </c>
      <c r="N1670" t="str">
        <f t="shared" si="215"/>
        <v>FOR</v>
      </c>
      <c r="O1670" t="s">
        <v>69</v>
      </c>
      <c r="P1670" t="s">
        <v>75</v>
      </c>
      <c r="Q1670">
        <v>2016</v>
      </c>
      <c r="R1670" s="4">
        <v>42503</v>
      </c>
      <c r="S1670" s="2">
        <v>42506</v>
      </c>
      <c r="T1670" s="2">
        <v>42504</v>
      </c>
      <c r="U1670" s="4">
        <v>42564</v>
      </c>
      <c r="V1670" t="s">
        <v>71</v>
      </c>
      <c r="W1670" t="str">
        <f>"          2162027108"</f>
        <v xml:space="preserve">          2162027108</v>
      </c>
      <c r="X1670">
        <v>256.2</v>
      </c>
      <c r="Y1670">
        <v>0</v>
      </c>
      <c r="Z1670" s="5">
        <v>210</v>
      </c>
      <c r="AA1670" s="3">
        <v>233</v>
      </c>
      <c r="AB1670" s="5">
        <v>48930</v>
      </c>
      <c r="AC1670">
        <v>210</v>
      </c>
      <c r="AD1670">
        <v>233</v>
      </c>
      <c r="AE1670" s="1">
        <v>48930</v>
      </c>
      <c r="AF1670">
        <v>46.2</v>
      </c>
      <c r="AJ1670">
        <v>0</v>
      </c>
      <c r="AK1670">
        <v>0</v>
      </c>
      <c r="AL1670">
        <v>0</v>
      </c>
      <c r="AM1670">
        <v>0</v>
      </c>
      <c r="AN1670">
        <v>0</v>
      </c>
      <c r="AO1670">
        <v>0</v>
      </c>
      <c r="AP1670" s="2">
        <v>42831</v>
      </c>
      <c r="AQ1670" t="s">
        <v>72</v>
      </c>
      <c r="AR1670" t="s">
        <v>72</v>
      </c>
      <c r="AS1670">
        <v>716</v>
      </c>
      <c r="AT1670" s="4">
        <v>42797</v>
      </c>
      <c r="AU1670" t="s">
        <v>73</v>
      </c>
      <c r="AV1670">
        <v>716</v>
      </c>
      <c r="AW1670" s="4">
        <v>42797</v>
      </c>
      <c r="BD1670">
        <v>46.2</v>
      </c>
      <c r="BN1670" t="s">
        <v>74</v>
      </c>
    </row>
    <row r="1671" spans="1:66">
      <c r="A1671">
        <v>104083</v>
      </c>
      <c r="B1671" t="s">
        <v>377</v>
      </c>
      <c r="C1671" s="1">
        <v>43300101</v>
      </c>
      <c r="D1671" t="s">
        <v>67</v>
      </c>
      <c r="H1671" t="str">
        <f t="shared" si="216"/>
        <v>06324460150</v>
      </c>
      <c r="I1671" t="str">
        <f t="shared" si="217"/>
        <v>02804530968</v>
      </c>
      <c r="K1671" t="str">
        <f>""</f>
        <v/>
      </c>
      <c r="M1671" t="s">
        <v>68</v>
      </c>
      <c r="N1671" t="str">
        <f t="shared" si="215"/>
        <v>FOR</v>
      </c>
      <c r="O1671" t="s">
        <v>69</v>
      </c>
      <c r="P1671" t="s">
        <v>75</v>
      </c>
      <c r="Q1671">
        <v>2016</v>
      </c>
      <c r="R1671" s="4">
        <v>42503</v>
      </c>
      <c r="S1671" s="2">
        <v>42506</v>
      </c>
      <c r="T1671" s="2">
        <v>42504</v>
      </c>
      <c r="U1671" s="4">
        <v>42564</v>
      </c>
      <c r="V1671" t="s">
        <v>71</v>
      </c>
      <c r="W1671" t="str">
        <f>"          2162027109"</f>
        <v xml:space="preserve">          2162027109</v>
      </c>
      <c r="X1671">
        <v>434.93</v>
      </c>
      <c r="Y1671">
        <v>0</v>
      </c>
      <c r="Z1671" s="5">
        <v>356.5</v>
      </c>
      <c r="AA1671" s="3">
        <v>233</v>
      </c>
      <c r="AB1671" s="5">
        <v>83064.5</v>
      </c>
      <c r="AC1671">
        <v>356.5</v>
      </c>
      <c r="AD1671">
        <v>233</v>
      </c>
      <c r="AE1671" s="1">
        <v>83064.5</v>
      </c>
      <c r="AF1671">
        <v>78.430000000000007</v>
      </c>
      <c r="AJ1671">
        <v>0</v>
      </c>
      <c r="AK1671">
        <v>0</v>
      </c>
      <c r="AL1671">
        <v>0</v>
      </c>
      <c r="AM1671">
        <v>0</v>
      </c>
      <c r="AN1671">
        <v>0</v>
      </c>
      <c r="AO1671">
        <v>0</v>
      </c>
      <c r="AP1671" s="2">
        <v>42831</v>
      </c>
      <c r="AQ1671" t="s">
        <v>72</v>
      </c>
      <c r="AR1671" t="s">
        <v>72</v>
      </c>
      <c r="AS1671">
        <v>716</v>
      </c>
      <c r="AT1671" s="4">
        <v>42797</v>
      </c>
      <c r="AU1671" t="s">
        <v>73</v>
      </c>
      <c r="AV1671">
        <v>716</v>
      </c>
      <c r="AW1671" s="4">
        <v>42797</v>
      </c>
      <c r="BD1671">
        <v>78.430000000000007</v>
      </c>
      <c r="BN1671" t="s">
        <v>74</v>
      </c>
    </row>
    <row r="1672" spans="1:66">
      <c r="A1672">
        <v>104083</v>
      </c>
      <c r="B1672" t="s">
        <v>377</v>
      </c>
      <c r="C1672" s="1">
        <v>43300101</v>
      </c>
      <c r="D1672" t="s">
        <v>67</v>
      </c>
      <c r="H1672" t="str">
        <f t="shared" si="216"/>
        <v>06324460150</v>
      </c>
      <c r="I1672" t="str">
        <f t="shared" si="217"/>
        <v>02804530968</v>
      </c>
      <c r="K1672" t="str">
        <f>""</f>
        <v/>
      </c>
      <c r="M1672" t="s">
        <v>68</v>
      </c>
      <c r="N1672" t="str">
        <f t="shared" si="215"/>
        <v>FOR</v>
      </c>
      <c r="O1672" t="s">
        <v>69</v>
      </c>
      <c r="P1672" t="s">
        <v>75</v>
      </c>
      <c r="Q1672">
        <v>2016</v>
      </c>
      <c r="R1672" s="4">
        <v>42508</v>
      </c>
      <c r="S1672" s="2">
        <v>42514</v>
      </c>
      <c r="T1672" s="2">
        <v>42509</v>
      </c>
      <c r="U1672" s="4">
        <v>42569</v>
      </c>
      <c r="V1672" t="s">
        <v>71</v>
      </c>
      <c r="W1672" t="str">
        <f>"          2162028021"</f>
        <v xml:space="preserve">          2162028021</v>
      </c>
      <c r="X1672">
        <v>179.34</v>
      </c>
      <c r="Y1672">
        <v>0</v>
      </c>
      <c r="Z1672" s="5">
        <v>147</v>
      </c>
      <c r="AA1672" s="3">
        <v>228</v>
      </c>
      <c r="AB1672" s="5">
        <v>33516</v>
      </c>
      <c r="AC1672">
        <v>147</v>
      </c>
      <c r="AD1672">
        <v>228</v>
      </c>
      <c r="AE1672" s="1">
        <v>33516</v>
      </c>
      <c r="AF1672">
        <v>32.340000000000003</v>
      </c>
      <c r="AJ1672">
        <v>0</v>
      </c>
      <c r="AK1672">
        <v>0</v>
      </c>
      <c r="AL1672">
        <v>0</v>
      </c>
      <c r="AM1672">
        <v>0</v>
      </c>
      <c r="AN1672">
        <v>0</v>
      </c>
      <c r="AO1672">
        <v>0</v>
      </c>
      <c r="AP1672" s="2">
        <v>42831</v>
      </c>
      <c r="AQ1672" t="s">
        <v>72</v>
      </c>
      <c r="AR1672" t="s">
        <v>72</v>
      </c>
      <c r="AS1672">
        <v>716</v>
      </c>
      <c r="AT1672" s="4">
        <v>42797</v>
      </c>
      <c r="AU1672" t="s">
        <v>73</v>
      </c>
      <c r="AV1672">
        <v>716</v>
      </c>
      <c r="AW1672" s="4">
        <v>42797</v>
      </c>
      <c r="BD1672">
        <v>32.340000000000003</v>
      </c>
      <c r="BN1672" t="s">
        <v>74</v>
      </c>
    </row>
    <row r="1673" spans="1:66">
      <c r="A1673">
        <v>104083</v>
      </c>
      <c r="B1673" t="s">
        <v>377</v>
      </c>
      <c r="C1673" s="1">
        <v>43300101</v>
      </c>
      <c r="D1673" t="s">
        <v>67</v>
      </c>
      <c r="H1673" t="str">
        <f t="shared" si="216"/>
        <v>06324460150</v>
      </c>
      <c r="I1673" t="str">
        <f t="shared" si="217"/>
        <v>02804530968</v>
      </c>
      <c r="K1673" t="str">
        <f>""</f>
        <v/>
      </c>
      <c r="M1673" t="s">
        <v>68</v>
      </c>
      <c r="N1673" t="str">
        <f t="shared" si="215"/>
        <v>FOR</v>
      </c>
      <c r="O1673" t="s">
        <v>69</v>
      </c>
      <c r="P1673" t="s">
        <v>75</v>
      </c>
      <c r="Q1673">
        <v>2016</v>
      </c>
      <c r="R1673" s="4">
        <v>42509</v>
      </c>
      <c r="S1673" s="2">
        <v>42516</v>
      </c>
      <c r="T1673" s="2">
        <v>42510</v>
      </c>
      <c r="U1673" s="4">
        <v>42570</v>
      </c>
      <c r="V1673" t="s">
        <v>71</v>
      </c>
      <c r="W1673" t="str">
        <f>"          2162028295"</f>
        <v xml:space="preserve">          2162028295</v>
      </c>
      <c r="X1673">
        <v>868.64</v>
      </c>
      <c r="Y1673">
        <v>0</v>
      </c>
      <c r="Z1673" s="5">
        <v>712</v>
      </c>
      <c r="AA1673" s="3">
        <v>227</v>
      </c>
      <c r="AB1673" s="5">
        <v>161624</v>
      </c>
      <c r="AC1673">
        <v>712</v>
      </c>
      <c r="AD1673">
        <v>227</v>
      </c>
      <c r="AE1673" s="1">
        <v>161624</v>
      </c>
      <c r="AF1673">
        <v>156.63999999999999</v>
      </c>
      <c r="AJ1673">
        <v>0</v>
      </c>
      <c r="AK1673">
        <v>0</v>
      </c>
      <c r="AL1673">
        <v>0</v>
      </c>
      <c r="AM1673">
        <v>0</v>
      </c>
      <c r="AN1673">
        <v>0</v>
      </c>
      <c r="AO1673">
        <v>0</v>
      </c>
      <c r="AP1673" s="2">
        <v>42831</v>
      </c>
      <c r="AQ1673" t="s">
        <v>72</v>
      </c>
      <c r="AR1673" t="s">
        <v>72</v>
      </c>
      <c r="AS1673">
        <v>716</v>
      </c>
      <c r="AT1673" s="4">
        <v>42797</v>
      </c>
      <c r="AU1673" t="s">
        <v>73</v>
      </c>
      <c r="AV1673">
        <v>716</v>
      </c>
      <c r="AW1673" s="4">
        <v>42797</v>
      </c>
      <c r="BD1673">
        <v>156.63999999999999</v>
      </c>
      <c r="BN1673" t="s">
        <v>74</v>
      </c>
    </row>
    <row r="1674" spans="1:66">
      <c r="A1674">
        <v>104083</v>
      </c>
      <c r="B1674" t="s">
        <v>377</v>
      </c>
      <c r="C1674" s="1">
        <v>43300101</v>
      </c>
      <c r="D1674" t="s">
        <v>67</v>
      </c>
      <c r="H1674" t="str">
        <f t="shared" si="216"/>
        <v>06324460150</v>
      </c>
      <c r="I1674" t="str">
        <f t="shared" si="217"/>
        <v>02804530968</v>
      </c>
      <c r="K1674" t="str">
        <f>""</f>
        <v/>
      </c>
      <c r="M1674" t="s">
        <v>68</v>
      </c>
      <c r="N1674" t="str">
        <f t="shared" si="215"/>
        <v>FOR</v>
      </c>
      <c r="O1674" t="s">
        <v>69</v>
      </c>
      <c r="P1674" t="s">
        <v>75</v>
      </c>
      <c r="Q1674">
        <v>2016</v>
      </c>
      <c r="R1674" s="4">
        <v>42518</v>
      </c>
      <c r="S1674" s="2">
        <v>42522</v>
      </c>
      <c r="T1674" s="2">
        <v>42520</v>
      </c>
      <c r="U1674" s="4">
        <v>42580</v>
      </c>
      <c r="V1674" t="s">
        <v>71</v>
      </c>
      <c r="W1674" t="str">
        <f>"          2162030498"</f>
        <v xml:space="preserve">          2162030498</v>
      </c>
      <c r="X1674">
        <v>212.28</v>
      </c>
      <c r="Y1674">
        <v>0</v>
      </c>
      <c r="Z1674" s="5">
        <v>174</v>
      </c>
      <c r="AA1674" s="3">
        <v>217</v>
      </c>
      <c r="AB1674" s="5">
        <v>37758</v>
      </c>
      <c r="AC1674">
        <v>174</v>
      </c>
      <c r="AD1674">
        <v>217</v>
      </c>
      <c r="AE1674" s="1">
        <v>37758</v>
      </c>
      <c r="AF1674">
        <v>38.28</v>
      </c>
      <c r="AJ1674">
        <v>0</v>
      </c>
      <c r="AK1674">
        <v>0</v>
      </c>
      <c r="AL1674">
        <v>0</v>
      </c>
      <c r="AM1674">
        <v>0</v>
      </c>
      <c r="AN1674">
        <v>0</v>
      </c>
      <c r="AO1674">
        <v>0</v>
      </c>
      <c r="AP1674" s="2">
        <v>42831</v>
      </c>
      <c r="AQ1674" t="s">
        <v>72</v>
      </c>
      <c r="AR1674" t="s">
        <v>72</v>
      </c>
      <c r="AS1674">
        <v>716</v>
      </c>
      <c r="AT1674" s="4">
        <v>42797</v>
      </c>
      <c r="AU1674" t="s">
        <v>73</v>
      </c>
      <c r="AV1674">
        <v>716</v>
      </c>
      <c r="AW1674" s="4">
        <v>42797</v>
      </c>
      <c r="BD1674">
        <v>38.28</v>
      </c>
      <c r="BN1674" t="s">
        <v>74</v>
      </c>
    </row>
    <row r="1675" spans="1:66">
      <c r="A1675">
        <v>104083</v>
      </c>
      <c r="B1675" t="s">
        <v>377</v>
      </c>
      <c r="C1675" s="1">
        <v>43300101</v>
      </c>
      <c r="D1675" t="s">
        <v>67</v>
      </c>
      <c r="H1675" t="str">
        <f t="shared" si="216"/>
        <v>06324460150</v>
      </c>
      <c r="I1675" t="str">
        <f t="shared" si="217"/>
        <v>02804530968</v>
      </c>
      <c r="K1675" t="str">
        <f>""</f>
        <v/>
      </c>
      <c r="M1675" t="s">
        <v>68</v>
      </c>
      <c r="N1675" t="str">
        <f t="shared" si="215"/>
        <v>FOR</v>
      </c>
      <c r="O1675" t="s">
        <v>69</v>
      </c>
      <c r="P1675" t="s">
        <v>75</v>
      </c>
      <c r="Q1675">
        <v>2016</v>
      </c>
      <c r="R1675" s="4">
        <v>42518</v>
      </c>
      <c r="S1675" s="2">
        <v>42522</v>
      </c>
      <c r="T1675" s="2">
        <v>42520</v>
      </c>
      <c r="U1675" s="4">
        <v>42580</v>
      </c>
      <c r="V1675" t="s">
        <v>71</v>
      </c>
      <c r="W1675" t="str">
        <f>"          2162030499"</f>
        <v xml:space="preserve">          2162030499</v>
      </c>
      <c r="X1675" s="1">
        <v>1380.43</v>
      </c>
      <c r="Y1675">
        <v>0</v>
      </c>
      <c r="Z1675" s="5">
        <v>1131.5</v>
      </c>
      <c r="AA1675" s="3">
        <v>217</v>
      </c>
      <c r="AB1675" s="5">
        <v>245535.5</v>
      </c>
      <c r="AC1675" s="1">
        <v>1131.5</v>
      </c>
      <c r="AD1675">
        <v>217</v>
      </c>
      <c r="AE1675" s="1">
        <v>245535.5</v>
      </c>
      <c r="AF1675">
        <v>248.93</v>
      </c>
      <c r="AJ1675">
        <v>0</v>
      </c>
      <c r="AK1675">
        <v>0</v>
      </c>
      <c r="AL1675">
        <v>0</v>
      </c>
      <c r="AM1675">
        <v>0</v>
      </c>
      <c r="AN1675">
        <v>0</v>
      </c>
      <c r="AO1675">
        <v>0</v>
      </c>
      <c r="AP1675" s="2">
        <v>42831</v>
      </c>
      <c r="AQ1675" t="s">
        <v>72</v>
      </c>
      <c r="AR1675" t="s">
        <v>72</v>
      </c>
      <c r="AS1675">
        <v>716</v>
      </c>
      <c r="AT1675" s="4">
        <v>42797</v>
      </c>
      <c r="AU1675" t="s">
        <v>73</v>
      </c>
      <c r="AV1675">
        <v>716</v>
      </c>
      <c r="AW1675" s="4">
        <v>42797</v>
      </c>
      <c r="BD1675">
        <v>248.93</v>
      </c>
      <c r="BN1675" t="s">
        <v>74</v>
      </c>
    </row>
    <row r="1676" spans="1:66">
      <c r="A1676">
        <v>104084</v>
      </c>
      <c r="B1676" t="s">
        <v>378</v>
      </c>
      <c r="C1676" s="1">
        <v>43300101</v>
      </c>
      <c r="D1676" t="s">
        <v>67</v>
      </c>
      <c r="H1676" t="str">
        <f t="shared" ref="H1676:I1690" si="218">"13144290155"</f>
        <v>13144290155</v>
      </c>
      <c r="I1676" t="str">
        <f t="shared" si="218"/>
        <v>13144290155</v>
      </c>
      <c r="K1676" t="str">
        <f>""</f>
        <v/>
      </c>
      <c r="M1676" t="s">
        <v>68</v>
      </c>
      <c r="N1676" t="str">
        <f t="shared" si="215"/>
        <v>FOR</v>
      </c>
      <c r="O1676" t="s">
        <v>69</v>
      </c>
      <c r="P1676" t="s">
        <v>75</v>
      </c>
      <c r="Q1676">
        <v>2016</v>
      </c>
      <c r="R1676" s="4">
        <v>42453</v>
      </c>
      <c r="S1676" s="2">
        <v>42454</v>
      </c>
      <c r="T1676" s="2">
        <v>42454</v>
      </c>
      <c r="U1676" s="4">
        <v>42514</v>
      </c>
      <c r="V1676" t="s">
        <v>71</v>
      </c>
      <c r="W1676" t="str">
        <f>"          2016302535"</f>
        <v xml:space="preserve">          2016302535</v>
      </c>
      <c r="X1676" s="1">
        <v>12810</v>
      </c>
      <c r="Y1676">
        <v>0</v>
      </c>
      <c r="Z1676" s="5">
        <v>10500</v>
      </c>
      <c r="AA1676" s="3">
        <v>260</v>
      </c>
      <c r="AB1676" s="5">
        <v>2730000</v>
      </c>
      <c r="AC1676" s="1">
        <v>10500</v>
      </c>
      <c r="AD1676">
        <v>260</v>
      </c>
      <c r="AE1676" s="1">
        <v>2730000</v>
      </c>
      <c r="AF1676">
        <v>0</v>
      </c>
      <c r="AJ1676">
        <v>0</v>
      </c>
      <c r="AK1676">
        <v>0</v>
      </c>
      <c r="AL1676">
        <v>0</v>
      </c>
      <c r="AM1676">
        <v>0</v>
      </c>
      <c r="AN1676">
        <v>0</v>
      </c>
      <c r="AO1676">
        <v>0</v>
      </c>
      <c r="AP1676" s="2">
        <v>42831</v>
      </c>
      <c r="AQ1676" t="s">
        <v>72</v>
      </c>
      <c r="AR1676" t="s">
        <v>72</v>
      </c>
      <c r="AS1676">
        <v>355</v>
      </c>
      <c r="AT1676" s="4">
        <v>42774</v>
      </c>
      <c r="AU1676" t="s">
        <v>73</v>
      </c>
      <c r="AV1676">
        <v>355</v>
      </c>
      <c r="AW1676" s="4">
        <v>42774</v>
      </c>
      <c r="BD1676">
        <v>0</v>
      </c>
      <c r="BN1676" t="s">
        <v>74</v>
      </c>
    </row>
    <row r="1677" spans="1:66">
      <c r="A1677">
        <v>104084</v>
      </c>
      <c r="B1677" t="s">
        <v>378</v>
      </c>
      <c r="C1677" s="1">
        <v>43300101</v>
      </c>
      <c r="D1677" t="s">
        <v>67</v>
      </c>
      <c r="H1677" t="str">
        <f t="shared" si="218"/>
        <v>13144290155</v>
      </c>
      <c r="I1677" t="str">
        <f t="shared" si="218"/>
        <v>13144290155</v>
      </c>
      <c r="K1677" t="str">
        <f>""</f>
        <v/>
      </c>
      <c r="M1677" t="s">
        <v>68</v>
      </c>
      <c r="N1677" t="str">
        <f t="shared" si="215"/>
        <v>FOR</v>
      </c>
      <c r="O1677" t="s">
        <v>69</v>
      </c>
      <c r="P1677" t="s">
        <v>75</v>
      </c>
      <c r="Q1677">
        <v>2016</v>
      </c>
      <c r="R1677" s="4">
        <v>42459</v>
      </c>
      <c r="S1677" s="2">
        <v>42464</v>
      </c>
      <c r="T1677" s="2">
        <v>42460</v>
      </c>
      <c r="U1677" s="4">
        <v>42520</v>
      </c>
      <c r="V1677" t="s">
        <v>71</v>
      </c>
      <c r="W1677" t="str">
        <f>"          2016302693"</f>
        <v xml:space="preserve">          2016302693</v>
      </c>
      <c r="X1677">
        <v>683.2</v>
      </c>
      <c r="Y1677">
        <v>0</v>
      </c>
      <c r="Z1677" s="5">
        <v>560</v>
      </c>
      <c r="AA1677" s="3">
        <v>254</v>
      </c>
      <c r="AB1677" s="5">
        <v>142240</v>
      </c>
      <c r="AC1677">
        <v>560</v>
      </c>
      <c r="AD1677">
        <v>254</v>
      </c>
      <c r="AE1677" s="1">
        <v>142240</v>
      </c>
      <c r="AF1677">
        <v>0</v>
      </c>
      <c r="AJ1677">
        <v>0</v>
      </c>
      <c r="AK1677">
        <v>0</v>
      </c>
      <c r="AL1677">
        <v>0</v>
      </c>
      <c r="AM1677">
        <v>0</v>
      </c>
      <c r="AN1677">
        <v>0</v>
      </c>
      <c r="AO1677">
        <v>0</v>
      </c>
      <c r="AP1677" s="2">
        <v>42831</v>
      </c>
      <c r="AQ1677" t="s">
        <v>72</v>
      </c>
      <c r="AR1677" t="s">
        <v>72</v>
      </c>
      <c r="AS1677">
        <v>355</v>
      </c>
      <c r="AT1677" s="4">
        <v>42774</v>
      </c>
      <c r="AU1677" t="s">
        <v>73</v>
      </c>
      <c r="AV1677">
        <v>355</v>
      </c>
      <c r="AW1677" s="4">
        <v>42774</v>
      </c>
      <c r="BD1677">
        <v>0</v>
      </c>
      <c r="BN1677" t="s">
        <v>74</v>
      </c>
    </row>
    <row r="1678" spans="1:66">
      <c r="A1678">
        <v>104084</v>
      </c>
      <c r="B1678" t="s">
        <v>378</v>
      </c>
      <c r="C1678" s="1">
        <v>43300101</v>
      </c>
      <c r="D1678" t="s">
        <v>67</v>
      </c>
      <c r="H1678" t="str">
        <f t="shared" si="218"/>
        <v>13144290155</v>
      </c>
      <c r="I1678" t="str">
        <f t="shared" si="218"/>
        <v>13144290155</v>
      </c>
      <c r="K1678" t="str">
        <f>""</f>
        <v/>
      </c>
      <c r="M1678" t="s">
        <v>68</v>
      </c>
      <c r="N1678" t="str">
        <f t="shared" si="215"/>
        <v>FOR</v>
      </c>
      <c r="O1678" t="s">
        <v>69</v>
      </c>
      <c r="P1678" t="s">
        <v>75</v>
      </c>
      <c r="Q1678">
        <v>2016</v>
      </c>
      <c r="R1678" s="4">
        <v>42461</v>
      </c>
      <c r="S1678" s="2">
        <v>42464</v>
      </c>
      <c r="T1678" s="2">
        <v>42461</v>
      </c>
      <c r="U1678" s="4">
        <v>42521</v>
      </c>
      <c r="V1678" t="s">
        <v>71</v>
      </c>
      <c r="W1678" t="str">
        <f>"          2016302824"</f>
        <v xml:space="preserve">          2016302824</v>
      </c>
      <c r="X1678" s="1">
        <v>13968.85</v>
      </c>
      <c r="Y1678">
        <v>0</v>
      </c>
      <c r="Z1678" s="5">
        <v>11449.88</v>
      </c>
      <c r="AA1678" s="3">
        <v>261</v>
      </c>
      <c r="AB1678" s="5">
        <v>2988418.68</v>
      </c>
      <c r="AC1678" s="1">
        <v>11449.88</v>
      </c>
      <c r="AD1678">
        <v>261</v>
      </c>
      <c r="AE1678" s="1">
        <v>2988418.68</v>
      </c>
      <c r="AF1678">
        <v>0</v>
      </c>
      <c r="AJ1678">
        <v>0</v>
      </c>
      <c r="AK1678">
        <v>0</v>
      </c>
      <c r="AL1678">
        <v>0</v>
      </c>
      <c r="AM1678">
        <v>0</v>
      </c>
      <c r="AN1678">
        <v>0</v>
      </c>
      <c r="AO1678">
        <v>0</v>
      </c>
      <c r="AP1678" s="2">
        <v>42831</v>
      </c>
      <c r="AQ1678" t="s">
        <v>72</v>
      </c>
      <c r="AR1678" t="s">
        <v>72</v>
      </c>
      <c r="AS1678">
        <v>479</v>
      </c>
      <c r="AT1678" s="4">
        <v>42782</v>
      </c>
      <c r="AU1678" t="s">
        <v>73</v>
      </c>
      <c r="AV1678">
        <v>479</v>
      </c>
      <c r="AW1678" s="4">
        <v>42782</v>
      </c>
      <c r="BD1678">
        <v>0</v>
      </c>
      <c r="BN1678" t="s">
        <v>74</v>
      </c>
    </row>
    <row r="1679" spans="1:66">
      <c r="A1679">
        <v>104084</v>
      </c>
      <c r="B1679" t="s">
        <v>378</v>
      </c>
      <c r="C1679" s="1">
        <v>43300101</v>
      </c>
      <c r="D1679" t="s">
        <v>67</v>
      </c>
      <c r="H1679" t="str">
        <f t="shared" si="218"/>
        <v>13144290155</v>
      </c>
      <c r="I1679" t="str">
        <f t="shared" si="218"/>
        <v>13144290155</v>
      </c>
      <c r="K1679" t="str">
        <f>""</f>
        <v/>
      </c>
      <c r="M1679" t="s">
        <v>68</v>
      </c>
      <c r="N1679" t="str">
        <f t="shared" si="215"/>
        <v>FOR</v>
      </c>
      <c r="O1679" t="s">
        <v>69</v>
      </c>
      <c r="P1679" t="s">
        <v>75</v>
      </c>
      <c r="Q1679">
        <v>2016</v>
      </c>
      <c r="R1679" s="4">
        <v>42472</v>
      </c>
      <c r="S1679" s="2">
        <v>42473</v>
      </c>
      <c r="T1679" s="2">
        <v>42473</v>
      </c>
      <c r="U1679" s="4">
        <v>42533</v>
      </c>
      <c r="V1679" t="s">
        <v>71</v>
      </c>
      <c r="W1679" t="str">
        <f>"          2016303084"</f>
        <v xml:space="preserve">          2016303084</v>
      </c>
      <c r="X1679">
        <v>946.72</v>
      </c>
      <c r="Y1679">
        <v>0</v>
      </c>
      <c r="Z1679" s="5">
        <v>776</v>
      </c>
      <c r="AA1679" s="3">
        <v>249</v>
      </c>
      <c r="AB1679" s="5">
        <v>193224</v>
      </c>
      <c r="AC1679">
        <v>776</v>
      </c>
      <c r="AD1679">
        <v>249</v>
      </c>
      <c r="AE1679" s="1">
        <v>193224</v>
      </c>
      <c r="AF1679">
        <v>0</v>
      </c>
      <c r="AJ1679">
        <v>0</v>
      </c>
      <c r="AK1679">
        <v>0</v>
      </c>
      <c r="AL1679">
        <v>0</v>
      </c>
      <c r="AM1679">
        <v>0</v>
      </c>
      <c r="AN1679">
        <v>0</v>
      </c>
      <c r="AO1679">
        <v>0</v>
      </c>
      <c r="AP1679" s="2">
        <v>42831</v>
      </c>
      <c r="AQ1679" t="s">
        <v>72</v>
      </c>
      <c r="AR1679" t="s">
        <v>72</v>
      </c>
      <c r="AS1679">
        <v>479</v>
      </c>
      <c r="AT1679" s="4">
        <v>42782</v>
      </c>
      <c r="AU1679" t="s">
        <v>73</v>
      </c>
      <c r="AV1679">
        <v>479</v>
      </c>
      <c r="AW1679" s="4">
        <v>42782</v>
      </c>
      <c r="BD1679">
        <v>0</v>
      </c>
      <c r="BN1679" t="s">
        <v>74</v>
      </c>
    </row>
    <row r="1680" spans="1:66">
      <c r="A1680">
        <v>104084</v>
      </c>
      <c r="B1680" t="s">
        <v>378</v>
      </c>
      <c r="C1680" s="1">
        <v>43300101</v>
      </c>
      <c r="D1680" t="s">
        <v>67</v>
      </c>
      <c r="H1680" t="str">
        <f t="shared" si="218"/>
        <v>13144290155</v>
      </c>
      <c r="I1680" t="str">
        <f t="shared" si="218"/>
        <v>13144290155</v>
      </c>
      <c r="K1680" t="str">
        <f>""</f>
        <v/>
      </c>
      <c r="M1680" t="s">
        <v>68</v>
      </c>
      <c r="N1680" t="str">
        <f t="shared" si="215"/>
        <v>FOR</v>
      </c>
      <c r="O1680" t="s">
        <v>69</v>
      </c>
      <c r="P1680" t="s">
        <v>75</v>
      </c>
      <c r="Q1680">
        <v>2016</v>
      </c>
      <c r="R1680" s="4">
        <v>42472</v>
      </c>
      <c r="S1680" s="2">
        <v>42473</v>
      </c>
      <c r="T1680" s="2">
        <v>42473</v>
      </c>
      <c r="U1680" s="4">
        <v>42533</v>
      </c>
      <c r="V1680" t="s">
        <v>71</v>
      </c>
      <c r="W1680" t="str">
        <f>"          2016303085"</f>
        <v xml:space="preserve">          2016303085</v>
      </c>
      <c r="X1680" s="1">
        <v>1244.4000000000001</v>
      </c>
      <c r="Y1680">
        <v>0</v>
      </c>
      <c r="Z1680" s="5">
        <v>1020</v>
      </c>
      <c r="AA1680" s="3">
        <v>249</v>
      </c>
      <c r="AB1680" s="5">
        <v>253980</v>
      </c>
      <c r="AC1680" s="1">
        <v>1020</v>
      </c>
      <c r="AD1680">
        <v>249</v>
      </c>
      <c r="AE1680" s="1">
        <v>253980</v>
      </c>
      <c r="AF1680">
        <v>0</v>
      </c>
      <c r="AJ1680">
        <v>0</v>
      </c>
      <c r="AK1680">
        <v>0</v>
      </c>
      <c r="AL1680">
        <v>0</v>
      </c>
      <c r="AM1680">
        <v>0</v>
      </c>
      <c r="AN1680">
        <v>0</v>
      </c>
      <c r="AO1680">
        <v>0</v>
      </c>
      <c r="AP1680" s="2">
        <v>42831</v>
      </c>
      <c r="AQ1680" t="s">
        <v>72</v>
      </c>
      <c r="AR1680" t="s">
        <v>72</v>
      </c>
      <c r="AS1680">
        <v>479</v>
      </c>
      <c r="AT1680" s="4">
        <v>42782</v>
      </c>
      <c r="AU1680" t="s">
        <v>73</v>
      </c>
      <c r="AV1680">
        <v>479</v>
      </c>
      <c r="AW1680" s="4">
        <v>42782</v>
      </c>
      <c r="BD1680">
        <v>0</v>
      </c>
      <c r="BN1680" t="s">
        <v>74</v>
      </c>
    </row>
    <row r="1681" spans="1:66">
      <c r="A1681">
        <v>104084</v>
      </c>
      <c r="B1681" t="s">
        <v>378</v>
      </c>
      <c r="C1681" s="1">
        <v>43300101</v>
      </c>
      <c r="D1681" t="s">
        <v>67</v>
      </c>
      <c r="H1681" t="str">
        <f t="shared" si="218"/>
        <v>13144290155</v>
      </c>
      <c r="I1681" t="str">
        <f t="shared" si="218"/>
        <v>13144290155</v>
      </c>
      <c r="K1681" t="str">
        <f>""</f>
        <v/>
      </c>
      <c r="M1681" t="s">
        <v>68</v>
      </c>
      <c r="N1681" t="str">
        <f t="shared" si="215"/>
        <v>FOR</v>
      </c>
      <c r="O1681" t="s">
        <v>69</v>
      </c>
      <c r="P1681" t="s">
        <v>75</v>
      </c>
      <c r="Q1681">
        <v>2016</v>
      </c>
      <c r="R1681" s="4">
        <v>42487</v>
      </c>
      <c r="S1681" s="2">
        <v>42492</v>
      </c>
      <c r="T1681" s="2">
        <v>42488</v>
      </c>
      <c r="U1681" s="4">
        <v>42548</v>
      </c>
      <c r="V1681" t="s">
        <v>71</v>
      </c>
      <c r="W1681" t="str">
        <f>"          2016303533"</f>
        <v xml:space="preserve">          2016303533</v>
      </c>
      <c r="X1681">
        <v>683.2</v>
      </c>
      <c r="Y1681">
        <v>0</v>
      </c>
      <c r="Z1681" s="5">
        <v>560</v>
      </c>
      <c r="AA1681" s="3">
        <v>234</v>
      </c>
      <c r="AB1681" s="5">
        <v>131040</v>
      </c>
      <c r="AC1681">
        <v>560</v>
      </c>
      <c r="AD1681">
        <v>234</v>
      </c>
      <c r="AE1681" s="1">
        <v>131040</v>
      </c>
      <c r="AF1681">
        <v>0</v>
      </c>
      <c r="AJ1681">
        <v>0</v>
      </c>
      <c r="AK1681">
        <v>0</v>
      </c>
      <c r="AL1681">
        <v>0</v>
      </c>
      <c r="AM1681">
        <v>0</v>
      </c>
      <c r="AN1681">
        <v>0</v>
      </c>
      <c r="AO1681">
        <v>0</v>
      </c>
      <c r="AP1681" s="2">
        <v>42831</v>
      </c>
      <c r="AQ1681" t="s">
        <v>72</v>
      </c>
      <c r="AR1681" t="s">
        <v>72</v>
      </c>
      <c r="AS1681">
        <v>479</v>
      </c>
      <c r="AT1681" s="4">
        <v>42782</v>
      </c>
      <c r="AU1681" t="s">
        <v>73</v>
      </c>
      <c r="AV1681">
        <v>479</v>
      </c>
      <c r="AW1681" s="4">
        <v>42782</v>
      </c>
      <c r="BD1681">
        <v>0</v>
      </c>
      <c r="BN1681" t="s">
        <v>74</v>
      </c>
    </row>
    <row r="1682" spans="1:66">
      <c r="A1682">
        <v>104084</v>
      </c>
      <c r="B1682" t="s">
        <v>378</v>
      </c>
      <c r="C1682" s="1">
        <v>43300101</v>
      </c>
      <c r="D1682" t="s">
        <v>67</v>
      </c>
      <c r="H1682" t="str">
        <f t="shared" si="218"/>
        <v>13144290155</v>
      </c>
      <c r="I1682" t="str">
        <f t="shared" si="218"/>
        <v>13144290155</v>
      </c>
      <c r="K1682" t="str">
        <f>""</f>
        <v/>
      </c>
      <c r="M1682" t="s">
        <v>68</v>
      </c>
      <c r="N1682" t="str">
        <f t="shared" si="215"/>
        <v>FOR</v>
      </c>
      <c r="O1682" t="s">
        <v>69</v>
      </c>
      <c r="P1682" t="s">
        <v>75</v>
      </c>
      <c r="Q1682">
        <v>2016</v>
      </c>
      <c r="R1682" s="4">
        <v>42495</v>
      </c>
      <c r="S1682" s="2">
        <v>42501</v>
      </c>
      <c r="T1682" s="2">
        <v>42496</v>
      </c>
      <c r="U1682" s="4">
        <v>42556</v>
      </c>
      <c r="V1682" t="s">
        <v>71</v>
      </c>
      <c r="W1682" t="str">
        <f>"          2016303875"</f>
        <v xml:space="preserve">          2016303875</v>
      </c>
      <c r="X1682" s="1">
        <v>12810</v>
      </c>
      <c r="Y1682">
        <v>0</v>
      </c>
      <c r="Z1682" s="5">
        <v>10500</v>
      </c>
      <c r="AA1682" s="3">
        <v>262</v>
      </c>
      <c r="AB1682" s="5">
        <v>2751000</v>
      </c>
      <c r="AC1682" s="1">
        <v>10500</v>
      </c>
      <c r="AD1682">
        <v>262</v>
      </c>
      <c r="AE1682" s="1">
        <v>2751000</v>
      </c>
      <c r="AF1682" s="1">
        <v>2310</v>
      </c>
      <c r="AJ1682">
        <v>0</v>
      </c>
      <c r="AK1682">
        <v>0</v>
      </c>
      <c r="AL1682">
        <v>0</v>
      </c>
      <c r="AM1682">
        <v>0</v>
      </c>
      <c r="AN1682">
        <v>0</v>
      </c>
      <c r="AO1682">
        <v>0</v>
      </c>
      <c r="AP1682" s="2">
        <v>42831</v>
      </c>
      <c r="AQ1682" t="s">
        <v>72</v>
      </c>
      <c r="AR1682" t="s">
        <v>72</v>
      </c>
      <c r="AS1682">
        <v>891</v>
      </c>
      <c r="AT1682" s="4">
        <v>42818</v>
      </c>
      <c r="AU1682" t="s">
        <v>73</v>
      </c>
      <c r="AV1682">
        <v>891</v>
      </c>
      <c r="AW1682" s="4">
        <v>42818</v>
      </c>
      <c r="BD1682" s="1">
        <v>2310</v>
      </c>
      <c r="BN1682" t="s">
        <v>74</v>
      </c>
    </row>
    <row r="1683" spans="1:66">
      <c r="A1683">
        <v>104084</v>
      </c>
      <c r="B1683" t="s">
        <v>378</v>
      </c>
      <c r="C1683" s="1">
        <v>43300101</v>
      </c>
      <c r="D1683" t="s">
        <v>67</v>
      </c>
      <c r="H1683" t="str">
        <f t="shared" si="218"/>
        <v>13144290155</v>
      </c>
      <c r="I1683" t="str">
        <f t="shared" si="218"/>
        <v>13144290155</v>
      </c>
      <c r="K1683" t="str">
        <f>""</f>
        <v/>
      </c>
      <c r="M1683" t="s">
        <v>68</v>
      </c>
      <c r="N1683" t="str">
        <f t="shared" si="215"/>
        <v>FOR</v>
      </c>
      <c r="O1683" t="s">
        <v>69</v>
      </c>
      <c r="P1683" t="s">
        <v>75</v>
      </c>
      <c r="Q1683">
        <v>2016</v>
      </c>
      <c r="R1683" s="4">
        <v>42495</v>
      </c>
      <c r="S1683" s="2">
        <v>42501</v>
      </c>
      <c r="T1683" s="2">
        <v>42496</v>
      </c>
      <c r="U1683" s="4">
        <v>42556</v>
      </c>
      <c r="V1683" t="s">
        <v>71</v>
      </c>
      <c r="W1683" t="str">
        <f>"          2016303876"</f>
        <v xml:space="preserve">          2016303876</v>
      </c>
      <c r="X1683" s="1">
        <v>2196</v>
      </c>
      <c r="Y1683">
        <v>0</v>
      </c>
      <c r="Z1683" s="5">
        <v>1800</v>
      </c>
      <c r="AA1683" s="3">
        <v>262</v>
      </c>
      <c r="AB1683" s="5">
        <v>471600</v>
      </c>
      <c r="AC1683" s="1">
        <v>1800</v>
      </c>
      <c r="AD1683">
        <v>262</v>
      </c>
      <c r="AE1683" s="1">
        <v>471600</v>
      </c>
      <c r="AF1683">
        <v>396</v>
      </c>
      <c r="AJ1683">
        <v>0</v>
      </c>
      <c r="AK1683">
        <v>0</v>
      </c>
      <c r="AL1683">
        <v>0</v>
      </c>
      <c r="AM1683">
        <v>0</v>
      </c>
      <c r="AN1683">
        <v>0</v>
      </c>
      <c r="AO1683">
        <v>0</v>
      </c>
      <c r="AP1683" s="2">
        <v>42831</v>
      </c>
      <c r="AQ1683" t="s">
        <v>72</v>
      </c>
      <c r="AR1683" t="s">
        <v>72</v>
      </c>
      <c r="AS1683">
        <v>891</v>
      </c>
      <c r="AT1683" s="4">
        <v>42818</v>
      </c>
      <c r="AU1683" t="s">
        <v>73</v>
      </c>
      <c r="AV1683">
        <v>891</v>
      </c>
      <c r="AW1683" s="4">
        <v>42818</v>
      </c>
      <c r="BD1683">
        <v>396</v>
      </c>
      <c r="BN1683" t="s">
        <v>74</v>
      </c>
    </row>
    <row r="1684" spans="1:66">
      <c r="A1684">
        <v>104084</v>
      </c>
      <c r="B1684" t="s">
        <v>378</v>
      </c>
      <c r="C1684" s="1">
        <v>43300101</v>
      </c>
      <c r="D1684" t="s">
        <v>67</v>
      </c>
      <c r="H1684" t="str">
        <f t="shared" si="218"/>
        <v>13144290155</v>
      </c>
      <c r="I1684" t="str">
        <f t="shared" si="218"/>
        <v>13144290155</v>
      </c>
      <c r="K1684" t="str">
        <f>""</f>
        <v/>
      </c>
      <c r="M1684" t="s">
        <v>68</v>
      </c>
      <c r="N1684" t="str">
        <f t="shared" si="215"/>
        <v>FOR</v>
      </c>
      <c r="O1684" t="s">
        <v>69</v>
      </c>
      <c r="P1684" t="s">
        <v>75</v>
      </c>
      <c r="Q1684">
        <v>2016</v>
      </c>
      <c r="R1684" s="4">
        <v>42502</v>
      </c>
      <c r="S1684" s="2">
        <v>42506</v>
      </c>
      <c r="T1684" s="2">
        <v>42503</v>
      </c>
      <c r="U1684" s="4">
        <v>42563</v>
      </c>
      <c r="V1684" t="s">
        <v>71</v>
      </c>
      <c r="W1684" t="str">
        <f>"          2016304070"</f>
        <v xml:space="preserve">          2016304070</v>
      </c>
      <c r="X1684" s="1">
        <v>1363.96</v>
      </c>
      <c r="Y1684">
        <v>0</v>
      </c>
      <c r="Z1684" s="5">
        <v>1118</v>
      </c>
      <c r="AA1684" s="3">
        <v>255</v>
      </c>
      <c r="AB1684" s="5">
        <v>285090</v>
      </c>
      <c r="AC1684" s="1">
        <v>1118</v>
      </c>
      <c r="AD1684">
        <v>255</v>
      </c>
      <c r="AE1684" s="1">
        <v>285090</v>
      </c>
      <c r="AF1684">
        <v>245.96</v>
      </c>
      <c r="AJ1684">
        <v>0</v>
      </c>
      <c r="AK1684">
        <v>0</v>
      </c>
      <c r="AL1684">
        <v>0</v>
      </c>
      <c r="AM1684">
        <v>0</v>
      </c>
      <c r="AN1684">
        <v>0</v>
      </c>
      <c r="AO1684">
        <v>0</v>
      </c>
      <c r="AP1684" s="2">
        <v>42831</v>
      </c>
      <c r="AQ1684" t="s">
        <v>72</v>
      </c>
      <c r="AR1684" t="s">
        <v>72</v>
      </c>
      <c r="AS1684">
        <v>891</v>
      </c>
      <c r="AT1684" s="4">
        <v>42818</v>
      </c>
      <c r="AU1684" t="s">
        <v>73</v>
      </c>
      <c r="AV1684">
        <v>891</v>
      </c>
      <c r="AW1684" s="4">
        <v>42818</v>
      </c>
      <c r="BD1684">
        <v>245.96</v>
      </c>
      <c r="BN1684" t="s">
        <v>74</v>
      </c>
    </row>
    <row r="1685" spans="1:66">
      <c r="A1685">
        <v>104084</v>
      </c>
      <c r="B1685" t="s">
        <v>378</v>
      </c>
      <c r="C1685" s="1">
        <v>43300101</v>
      </c>
      <c r="D1685" t="s">
        <v>67</v>
      </c>
      <c r="H1685" t="str">
        <f t="shared" si="218"/>
        <v>13144290155</v>
      </c>
      <c r="I1685" t="str">
        <f t="shared" si="218"/>
        <v>13144290155</v>
      </c>
      <c r="K1685" t="str">
        <f>""</f>
        <v/>
      </c>
      <c r="M1685" t="s">
        <v>68</v>
      </c>
      <c r="N1685" t="str">
        <f t="shared" si="215"/>
        <v>FOR</v>
      </c>
      <c r="O1685" t="s">
        <v>69</v>
      </c>
      <c r="P1685" t="s">
        <v>75</v>
      </c>
      <c r="Q1685">
        <v>2016</v>
      </c>
      <c r="R1685" s="4">
        <v>42515</v>
      </c>
      <c r="S1685" s="2">
        <v>42516</v>
      </c>
      <c r="T1685" s="2">
        <v>42516</v>
      </c>
      <c r="U1685" s="4">
        <v>42576</v>
      </c>
      <c r="V1685" t="s">
        <v>71</v>
      </c>
      <c r="W1685" t="str">
        <f>"          2016304386"</f>
        <v xml:space="preserve">          2016304386</v>
      </c>
      <c r="X1685" s="1">
        <v>3050</v>
      </c>
      <c r="Y1685">
        <v>0</v>
      </c>
      <c r="Z1685" s="5">
        <v>2500</v>
      </c>
      <c r="AA1685" s="3">
        <v>242</v>
      </c>
      <c r="AB1685" s="5">
        <v>605000</v>
      </c>
      <c r="AC1685" s="1">
        <v>2500</v>
      </c>
      <c r="AD1685">
        <v>242</v>
      </c>
      <c r="AE1685" s="1">
        <v>605000</v>
      </c>
      <c r="AF1685">
        <v>550</v>
      </c>
      <c r="AJ1685">
        <v>0</v>
      </c>
      <c r="AK1685">
        <v>0</v>
      </c>
      <c r="AL1685">
        <v>0</v>
      </c>
      <c r="AM1685">
        <v>0</v>
      </c>
      <c r="AN1685">
        <v>0</v>
      </c>
      <c r="AO1685">
        <v>0</v>
      </c>
      <c r="AP1685" s="2">
        <v>42831</v>
      </c>
      <c r="AQ1685" t="s">
        <v>72</v>
      </c>
      <c r="AR1685" t="s">
        <v>72</v>
      </c>
      <c r="AS1685">
        <v>891</v>
      </c>
      <c r="AT1685" s="4">
        <v>42818</v>
      </c>
      <c r="AU1685" t="s">
        <v>73</v>
      </c>
      <c r="AV1685">
        <v>891</v>
      </c>
      <c r="AW1685" s="4">
        <v>42818</v>
      </c>
      <c r="BD1685">
        <v>550</v>
      </c>
      <c r="BN1685" t="s">
        <v>74</v>
      </c>
    </row>
    <row r="1686" spans="1:66">
      <c r="A1686">
        <v>104084</v>
      </c>
      <c r="B1686" t="s">
        <v>378</v>
      </c>
      <c r="C1686" s="1">
        <v>43300101</v>
      </c>
      <c r="D1686" t="s">
        <v>67</v>
      </c>
      <c r="H1686" t="str">
        <f t="shared" si="218"/>
        <v>13144290155</v>
      </c>
      <c r="I1686" t="str">
        <f t="shared" si="218"/>
        <v>13144290155</v>
      </c>
      <c r="K1686" t="str">
        <f>""</f>
        <v/>
      </c>
      <c r="M1686" t="s">
        <v>68</v>
      </c>
      <c r="N1686" t="str">
        <f t="shared" si="215"/>
        <v>FOR</v>
      </c>
      <c r="O1686" t="s">
        <v>69</v>
      </c>
      <c r="P1686" t="s">
        <v>75</v>
      </c>
      <c r="Q1686">
        <v>2016</v>
      </c>
      <c r="R1686" s="4">
        <v>42530</v>
      </c>
      <c r="S1686" s="2">
        <v>42534</v>
      </c>
      <c r="T1686" s="2">
        <v>42530</v>
      </c>
      <c r="U1686" s="4">
        <v>42590</v>
      </c>
      <c r="V1686" t="s">
        <v>71</v>
      </c>
      <c r="W1686" t="str">
        <f>"          2016304982"</f>
        <v xml:space="preserve">          2016304982</v>
      </c>
      <c r="X1686" s="1">
        <v>19215</v>
      </c>
      <c r="Y1686">
        <v>0</v>
      </c>
      <c r="Z1686" s="5">
        <v>15750</v>
      </c>
      <c r="AA1686" s="3">
        <v>228</v>
      </c>
      <c r="AB1686" s="5">
        <v>3591000</v>
      </c>
      <c r="AC1686" s="1">
        <v>15750</v>
      </c>
      <c r="AD1686">
        <v>228</v>
      </c>
      <c r="AE1686" s="1">
        <v>3591000</v>
      </c>
      <c r="AF1686" s="1">
        <v>3465</v>
      </c>
      <c r="AJ1686">
        <v>0</v>
      </c>
      <c r="AK1686">
        <v>0</v>
      </c>
      <c r="AL1686">
        <v>0</v>
      </c>
      <c r="AM1686">
        <v>0</v>
      </c>
      <c r="AN1686">
        <v>0</v>
      </c>
      <c r="AO1686">
        <v>0</v>
      </c>
      <c r="AP1686" s="2">
        <v>42831</v>
      </c>
      <c r="AQ1686" t="s">
        <v>72</v>
      </c>
      <c r="AR1686" t="s">
        <v>72</v>
      </c>
      <c r="AS1686">
        <v>891</v>
      </c>
      <c r="AT1686" s="4">
        <v>42818</v>
      </c>
      <c r="AU1686" t="s">
        <v>73</v>
      </c>
      <c r="AV1686">
        <v>891</v>
      </c>
      <c r="AW1686" s="4">
        <v>42818</v>
      </c>
      <c r="BD1686" s="1">
        <v>3465</v>
      </c>
      <c r="BN1686" t="s">
        <v>74</v>
      </c>
    </row>
    <row r="1687" spans="1:66">
      <c r="A1687">
        <v>104084</v>
      </c>
      <c r="B1687" t="s">
        <v>378</v>
      </c>
      <c r="C1687" s="1">
        <v>43300101</v>
      </c>
      <c r="D1687" t="s">
        <v>67</v>
      </c>
      <c r="H1687" t="str">
        <f t="shared" si="218"/>
        <v>13144290155</v>
      </c>
      <c r="I1687" t="str">
        <f t="shared" si="218"/>
        <v>13144290155</v>
      </c>
      <c r="K1687" t="str">
        <f>""</f>
        <v/>
      </c>
      <c r="M1687" t="s">
        <v>68</v>
      </c>
      <c r="N1687" t="str">
        <f t="shared" si="215"/>
        <v>FOR</v>
      </c>
      <c r="O1687" t="s">
        <v>69</v>
      </c>
      <c r="P1687" t="s">
        <v>75</v>
      </c>
      <c r="Q1687">
        <v>2016</v>
      </c>
      <c r="R1687" s="4">
        <v>42550</v>
      </c>
      <c r="S1687" s="2">
        <v>42551</v>
      </c>
      <c r="T1687" s="2">
        <v>42550</v>
      </c>
      <c r="U1687" s="4">
        <v>42610</v>
      </c>
      <c r="V1687" t="s">
        <v>71</v>
      </c>
      <c r="W1687" t="str">
        <f>"          2016305588"</f>
        <v xml:space="preserve">          2016305588</v>
      </c>
      <c r="X1687" s="1">
        <v>2191.12</v>
      </c>
      <c r="Y1687">
        <v>0</v>
      </c>
      <c r="Z1687" s="5">
        <v>1796</v>
      </c>
      <c r="AA1687" s="3">
        <v>208</v>
      </c>
      <c r="AB1687" s="5">
        <v>373568</v>
      </c>
      <c r="AC1687" s="1">
        <v>1796</v>
      </c>
      <c r="AD1687">
        <v>208</v>
      </c>
      <c r="AE1687" s="1">
        <v>373568</v>
      </c>
      <c r="AF1687">
        <v>395.12</v>
      </c>
      <c r="AJ1687">
        <v>0</v>
      </c>
      <c r="AK1687">
        <v>0</v>
      </c>
      <c r="AL1687">
        <v>0</v>
      </c>
      <c r="AM1687">
        <v>0</v>
      </c>
      <c r="AN1687">
        <v>0</v>
      </c>
      <c r="AO1687">
        <v>0</v>
      </c>
      <c r="AP1687" s="2">
        <v>42831</v>
      </c>
      <c r="AQ1687" t="s">
        <v>72</v>
      </c>
      <c r="AR1687" t="s">
        <v>72</v>
      </c>
      <c r="AS1687">
        <v>891</v>
      </c>
      <c r="AT1687" s="4">
        <v>42818</v>
      </c>
      <c r="AU1687" t="s">
        <v>73</v>
      </c>
      <c r="AV1687">
        <v>891</v>
      </c>
      <c r="AW1687" s="4">
        <v>42818</v>
      </c>
      <c r="BD1687">
        <v>395.12</v>
      </c>
      <c r="BN1687" t="s">
        <v>74</v>
      </c>
    </row>
    <row r="1688" spans="1:66">
      <c r="A1688">
        <v>104084</v>
      </c>
      <c r="B1688" t="s">
        <v>378</v>
      </c>
      <c r="C1688" s="1">
        <v>43300101</v>
      </c>
      <c r="D1688" t="s">
        <v>67</v>
      </c>
      <c r="H1688" t="str">
        <f t="shared" si="218"/>
        <v>13144290155</v>
      </c>
      <c r="I1688" t="str">
        <f t="shared" si="218"/>
        <v>13144290155</v>
      </c>
      <c r="K1688" t="str">
        <f>""</f>
        <v/>
      </c>
      <c r="M1688" t="s">
        <v>68</v>
      </c>
      <c r="N1688" t="str">
        <f t="shared" si="215"/>
        <v>FOR</v>
      </c>
      <c r="O1688" t="s">
        <v>69</v>
      </c>
      <c r="P1688" t="s">
        <v>75</v>
      </c>
      <c r="Q1688">
        <v>2016</v>
      </c>
      <c r="R1688" s="4">
        <v>42572</v>
      </c>
      <c r="S1688" s="2">
        <v>42577</v>
      </c>
      <c r="T1688" s="2">
        <v>42573</v>
      </c>
      <c r="U1688" s="4">
        <v>42633</v>
      </c>
      <c r="V1688" t="s">
        <v>71</v>
      </c>
      <c r="W1688" t="str">
        <f>"          2016306259"</f>
        <v xml:space="preserve">          2016306259</v>
      </c>
      <c r="X1688" s="1">
        <v>10415.290000000001</v>
      </c>
      <c r="Y1688">
        <v>0</v>
      </c>
      <c r="Z1688" s="5">
        <v>8537.1200000000008</v>
      </c>
      <c r="AA1688" s="3">
        <v>185</v>
      </c>
      <c r="AB1688" s="5">
        <v>1579367.2</v>
      </c>
      <c r="AC1688" s="1">
        <v>8537.1200000000008</v>
      </c>
      <c r="AD1688">
        <v>185</v>
      </c>
      <c r="AE1688" s="1">
        <v>1579367.2</v>
      </c>
      <c r="AF1688" s="1">
        <v>1878.17</v>
      </c>
      <c r="AJ1688">
        <v>0</v>
      </c>
      <c r="AK1688">
        <v>0</v>
      </c>
      <c r="AL1688">
        <v>0</v>
      </c>
      <c r="AM1688">
        <v>0</v>
      </c>
      <c r="AN1688">
        <v>0</v>
      </c>
      <c r="AO1688">
        <v>0</v>
      </c>
      <c r="AP1688" s="2">
        <v>42831</v>
      </c>
      <c r="AQ1688" t="s">
        <v>72</v>
      </c>
      <c r="AR1688" t="s">
        <v>72</v>
      </c>
      <c r="AS1688">
        <v>891</v>
      </c>
      <c r="AT1688" s="4">
        <v>42818</v>
      </c>
      <c r="AU1688" t="s">
        <v>73</v>
      </c>
      <c r="AV1688">
        <v>891</v>
      </c>
      <c r="AW1688" s="4">
        <v>42818</v>
      </c>
      <c r="BD1688" s="1">
        <v>1878.17</v>
      </c>
      <c r="BN1688" t="s">
        <v>74</v>
      </c>
    </row>
    <row r="1689" spans="1:66">
      <c r="A1689">
        <v>104084</v>
      </c>
      <c r="B1689" t="s">
        <v>378</v>
      </c>
      <c r="C1689" s="1">
        <v>43300101</v>
      </c>
      <c r="D1689" t="s">
        <v>67</v>
      </c>
      <c r="H1689" t="str">
        <f t="shared" si="218"/>
        <v>13144290155</v>
      </c>
      <c r="I1689" t="str">
        <f t="shared" si="218"/>
        <v>13144290155</v>
      </c>
      <c r="K1689" t="str">
        <f>""</f>
        <v/>
      </c>
      <c r="M1689" t="s">
        <v>68</v>
      </c>
      <c r="N1689" t="str">
        <f t="shared" si="215"/>
        <v>FOR</v>
      </c>
      <c r="O1689" t="s">
        <v>69</v>
      </c>
      <c r="P1689" t="s">
        <v>75</v>
      </c>
      <c r="Q1689">
        <v>2016</v>
      </c>
      <c r="R1689" s="4">
        <v>42578</v>
      </c>
      <c r="S1689" s="2">
        <v>42583</v>
      </c>
      <c r="T1689" s="2">
        <v>42579</v>
      </c>
      <c r="U1689" s="4">
        <v>42639</v>
      </c>
      <c r="V1689" t="s">
        <v>71</v>
      </c>
      <c r="W1689" t="str">
        <f>"          2016306367"</f>
        <v xml:space="preserve">          2016306367</v>
      </c>
      <c r="X1689" s="1">
        <v>1717.76</v>
      </c>
      <c r="Y1689">
        <v>0</v>
      </c>
      <c r="Z1689" s="5">
        <v>1408</v>
      </c>
      <c r="AA1689" s="3">
        <v>179</v>
      </c>
      <c r="AB1689" s="5">
        <v>252032</v>
      </c>
      <c r="AC1689" s="1">
        <v>1408</v>
      </c>
      <c r="AD1689">
        <v>179</v>
      </c>
      <c r="AE1689" s="1">
        <v>252032</v>
      </c>
      <c r="AF1689">
        <v>309.76</v>
      </c>
      <c r="AJ1689">
        <v>0</v>
      </c>
      <c r="AK1689">
        <v>0</v>
      </c>
      <c r="AL1689">
        <v>0</v>
      </c>
      <c r="AM1689">
        <v>0</v>
      </c>
      <c r="AN1689">
        <v>0</v>
      </c>
      <c r="AO1689">
        <v>0</v>
      </c>
      <c r="AP1689" s="2">
        <v>42831</v>
      </c>
      <c r="AQ1689" t="s">
        <v>72</v>
      </c>
      <c r="AR1689" t="s">
        <v>72</v>
      </c>
      <c r="AS1689">
        <v>891</v>
      </c>
      <c r="AT1689" s="4">
        <v>42818</v>
      </c>
      <c r="AU1689" t="s">
        <v>73</v>
      </c>
      <c r="AV1689">
        <v>891</v>
      </c>
      <c r="AW1689" s="4">
        <v>42818</v>
      </c>
      <c r="BD1689">
        <v>309.76</v>
      </c>
      <c r="BN1689" t="s">
        <v>74</v>
      </c>
    </row>
    <row r="1690" spans="1:66">
      <c r="A1690">
        <v>104084</v>
      </c>
      <c r="B1690" t="s">
        <v>378</v>
      </c>
      <c r="C1690" s="1">
        <v>43300101</v>
      </c>
      <c r="D1690" t="s">
        <v>67</v>
      </c>
      <c r="H1690" t="str">
        <f t="shared" si="218"/>
        <v>13144290155</v>
      </c>
      <c r="I1690" t="str">
        <f t="shared" si="218"/>
        <v>13144290155</v>
      </c>
      <c r="K1690" t="str">
        <f>""</f>
        <v/>
      </c>
      <c r="M1690" t="s">
        <v>68</v>
      </c>
      <c r="N1690" t="str">
        <f t="shared" si="215"/>
        <v>FOR</v>
      </c>
      <c r="O1690" t="s">
        <v>69</v>
      </c>
      <c r="P1690" t="s">
        <v>75</v>
      </c>
      <c r="Q1690">
        <v>2016</v>
      </c>
      <c r="R1690" s="4">
        <v>42579</v>
      </c>
      <c r="S1690" s="2">
        <v>42583</v>
      </c>
      <c r="T1690" s="2">
        <v>42580</v>
      </c>
      <c r="U1690" s="4">
        <v>42640</v>
      </c>
      <c r="V1690" t="s">
        <v>71</v>
      </c>
      <c r="W1690" t="str">
        <f>"          2016306490"</f>
        <v xml:space="preserve">          2016306490</v>
      </c>
      <c r="X1690" s="1">
        <v>12810</v>
      </c>
      <c r="Y1690">
        <v>0</v>
      </c>
      <c r="Z1690" s="5">
        <v>10500</v>
      </c>
      <c r="AA1690" s="3">
        <v>178</v>
      </c>
      <c r="AB1690" s="5">
        <v>1869000</v>
      </c>
      <c r="AC1690" s="1">
        <v>10500</v>
      </c>
      <c r="AD1690">
        <v>178</v>
      </c>
      <c r="AE1690" s="1">
        <v>1869000</v>
      </c>
      <c r="AF1690" s="1">
        <v>2310</v>
      </c>
      <c r="AJ1690">
        <v>0</v>
      </c>
      <c r="AK1690">
        <v>0</v>
      </c>
      <c r="AL1690">
        <v>0</v>
      </c>
      <c r="AM1690">
        <v>0</v>
      </c>
      <c r="AN1690">
        <v>0</v>
      </c>
      <c r="AO1690">
        <v>0</v>
      </c>
      <c r="AP1690" s="2">
        <v>42831</v>
      </c>
      <c r="AQ1690" t="s">
        <v>72</v>
      </c>
      <c r="AR1690" t="s">
        <v>72</v>
      </c>
      <c r="AS1690">
        <v>891</v>
      </c>
      <c r="AT1690" s="4">
        <v>42818</v>
      </c>
      <c r="AU1690" t="s">
        <v>73</v>
      </c>
      <c r="AV1690">
        <v>891</v>
      </c>
      <c r="AW1690" s="4">
        <v>42818</v>
      </c>
      <c r="BD1690" s="1">
        <v>2310</v>
      </c>
      <c r="BN1690" t="s">
        <v>74</v>
      </c>
    </row>
    <row r="1691" spans="1:66">
      <c r="A1691">
        <v>104093</v>
      </c>
      <c r="B1691" t="s">
        <v>379</v>
      </c>
      <c r="C1691" s="1">
        <v>43300101</v>
      </c>
      <c r="D1691" t="s">
        <v>67</v>
      </c>
      <c r="H1691" t="str">
        <f t="shared" ref="H1691:H1722" si="219">"12572900152"</f>
        <v>12572900152</v>
      </c>
      <c r="I1691" t="str">
        <f t="shared" ref="I1691:I1722" si="220">"06032681006"</f>
        <v>06032681006</v>
      </c>
      <c r="K1691" t="str">
        <f>""</f>
        <v/>
      </c>
      <c r="M1691" t="s">
        <v>68</v>
      </c>
      <c r="N1691" t="str">
        <f t="shared" si="215"/>
        <v>FOR</v>
      </c>
      <c r="O1691" t="s">
        <v>69</v>
      </c>
      <c r="P1691" t="s">
        <v>70</v>
      </c>
      <c r="Q1691">
        <v>2015</v>
      </c>
      <c r="R1691" s="4">
        <v>42058</v>
      </c>
      <c r="S1691" s="2">
        <v>42762</v>
      </c>
      <c r="T1691" s="2">
        <v>42762</v>
      </c>
      <c r="U1691" s="4">
        <v>42822</v>
      </c>
      <c r="V1691" t="s">
        <v>71</v>
      </c>
      <c r="W1691" t="str">
        <f>"            25229919"</f>
        <v xml:space="preserve">            25229919</v>
      </c>
      <c r="X1691">
        <v>936</v>
      </c>
      <c r="Y1691">
        <v>0</v>
      </c>
      <c r="Z1691" s="5">
        <v>900</v>
      </c>
      <c r="AA1691" s="3">
        <v>-27</v>
      </c>
      <c r="AB1691" s="5">
        <v>-24300</v>
      </c>
      <c r="AC1691">
        <v>900</v>
      </c>
      <c r="AD1691">
        <v>-27</v>
      </c>
      <c r="AE1691" s="1">
        <v>-24300</v>
      </c>
      <c r="AF1691">
        <v>36</v>
      </c>
      <c r="AJ1691">
        <v>0</v>
      </c>
      <c r="AK1691">
        <v>936</v>
      </c>
      <c r="AL1691">
        <v>0</v>
      </c>
      <c r="AM1691">
        <v>0</v>
      </c>
      <c r="AN1691">
        <v>936</v>
      </c>
      <c r="AO1691">
        <v>0</v>
      </c>
      <c r="AP1691" s="2">
        <v>42831</v>
      </c>
      <c r="AQ1691" t="s">
        <v>72</v>
      </c>
      <c r="AR1691" t="s">
        <v>72</v>
      </c>
      <c r="AS1691">
        <v>664</v>
      </c>
      <c r="AT1691" s="4">
        <v>42795</v>
      </c>
      <c r="AV1691">
        <v>664</v>
      </c>
      <c r="AW1691" s="4">
        <v>42795</v>
      </c>
      <c r="AX1691">
        <v>36</v>
      </c>
      <c r="BD1691">
        <v>0</v>
      </c>
      <c r="BN1691" t="s">
        <v>74</v>
      </c>
    </row>
    <row r="1692" spans="1:66">
      <c r="A1692">
        <v>104093</v>
      </c>
      <c r="B1692" t="s">
        <v>379</v>
      </c>
      <c r="C1692" s="1">
        <v>43300101</v>
      </c>
      <c r="D1692" t="s">
        <v>67</v>
      </c>
      <c r="H1692" t="str">
        <f t="shared" si="219"/>
        <v>12572900152</v>
      </c>
      <c r="I1692" t="str">
        <f t="shared" si="220"/>
        <v>06032681006</v>
      </c>
      <c r="K1692" t="str">
        <f>""</f>
        <v/>
      </c>
      <c r="M1692" t="s">
        <v>68</v>
      </c>
      <c r="N1692" t="str">
        <f t="shared" si="215"/>
        <v>FOR</v>
      </c>
      <c r="O1692" t="s">
        <v>69</v>
      </c>
      <c r="P1692" t="s">
        <v>70</v>
      </c>
      <c r="Q1692">
        <v>2015</v>
      </c>
      <c r="R1692" s="4">
        <v>42058</v>
      </c>
      <c r="S1692" s="2">
        <v>42762</v>
      </c>
      <c r="T1692" s="2">
        <v>42762</v>
      </c>
      <c r="U1692" s="4">
        <v>42822</v>
      </c>
      <c r="V1692" t="s">
        <v>71</v>
      </c>
      <c r="W1692" t="str">
        <f>"            25229920"</f>
        <v xml:space="preserve">            25229920</v>
      </c>
      <c r="X1692">
        <v>936</v>
      </c>
      <c r="Y1692">
        <v>0</v>
      </c>
      <c r="Z1692" s="5">
        <v>900</v>
      </c>
      <c r="AA1692" s="3">
        <v>-27</v>
      </c>
      <c r="AB1692" s="5">
        <v>-24300</v>
      </c>
      <c r="AC1692">
        <v>900</v>
      </c>
      <c r="AD1692">
        <v>-27</v>
      </c>
      <c r="AE1692" s="1">
        <v>-24300</v>
      </c>
      <c r="AF1692">
        <v>36</v>
      </c>
      <c r="AJ1692">
        <v>0</v>
      </c>
      <c r="AK1692">
        <v>936</v>
      </c>
      <c r="AL1692">
        <v>0</v>
      </c>
      <c r="AM1692">
        <v>0</v>
      </c>
      <c r="AN1692">
        <v>936</v>
      </c>
      <c r="AO1692">
        <v>0</v>
      </c>
      <c r="AP1692" s="2">
        <v>42831</v>
      </c>
      <c r="AQ1692" t="s">
        <v>72</v>
      </c>
      <c r="AR1692" t="s">
        <v>72</v>
      </c>
      <c r="AS1692">
        <v>664</v>
      </c>
      <c r="AT1692" s="4">
        <v>42795</v>
      </c>
      <c r="AV1692">
        <v>664</v>
      </c>
      <c r="AW1692" s="4">
        <v>42795</v>
      </c>
      <c r="AX1692">
        <v>36</v>
      </c>
      <c r="BD1692">
        <v>0</v>
      </c>
      <c r="BN1692" t="s">
        <v>74</v>
      </c>
    </row>
    <row r="1693" spans="1:66">
      <c r="A1693">
        <v>104093</v>
      </c>
      <c r="B1693" t="s">
        <v>379</v>
      </c>
      <c r="C1693" s="1">
        <v>43300101</v>
      </c>
      <c r="D1693" t="s">
        <v>67</v>
      </c>
      <c r="H1693" t="str">
        <f t="shared" si="219"/>
        <v>12572900152</v>
      </c>
      <c r="I1693" t="str">
        <f t="shared" si="220"/>
        <v>06032681006</v>
      </c>
      <c r="K1693" t="str">
        <f>""</f>
        <v/>
      </c>
      <c r="M1693" t="s">
        <v>68</v>
      </c>
      <c r="N1693" t="str">
        <f t="shared" si="215"/>
        <v>FOR</v>
      </c>
      <c r="O1693" t="s">
        <v>69</v>
      </c>
      <c r="P1693" t="s">
        <v>70</v>
      </c>
      <c r="Q1693">
        <v>2015</v>
      </c>
      <c r="R1693" s="4">
        <v>42058</v>
      </c>
      <c r="S1693" s="2">
        <v>42762</v>
      </c>
      <c r="T1693" s="2">
        <v>42762</v>
      </c>
      <c r="U1693" s="4">
        <v>42822</v>
      </c>
      <c r="V1693" t="s">
        <v>71</v>
      </c>
      <c r="W1693" t="str">
        <f>"            25229936"</f>
        <v xml:space="preserve">            25229936</v>
      </c>
      <c r="X1693">
        <v>74.88</v>
      </c>
      <c r="Y1693">
        <v>0</v>
      </c>
      <c r="Z1693" s="5">
        <v>72</v>
      </c>
      <c r="AA1693" s="3">
        <v>-27</v>
      </c>
      <c r="AB1693" s="5">
        <v>-1944</v>
      </c>
      <c r="AC1693">
        <v>72</v>
      </c>
      <c r="AD1693">
        <v>-27</v>
      </c>
      <c r="AE1693" s="1">
        <v>-1944</v>
      </c>
      <c r="AF1693">
        <v>2.88</v>
      </c>
      <c r="AJ1693">
        <v>0</v>
      </c>
      <c r="AK1693">
        <v>74.88</v>
      </c>
      <c r="AL1693">
        <v>0</v>
      </c>
      <c r="AM1693">
        <v>0</v>
      </c>
      <c r="AN1693">
        <v>74.88</v>
      </c>
      <c r="AO1693">
        <v>0</v>
      </c>
      <c r="AP1693" s="2">
        <v>42831</v>
      </c>
      <c r="AQ1693" t="s">
        <v>72</v>
      </c>
      <c r="AR1693" t="s">
        <v>72</v>
      </c>
      <c r="AS1693">
        <v>664</v>
      </c>
      <c r="AT1693" s="4">
        <v>42795</v>
      </c>
      <c r="AV1693">
        <v>664</v>
      </c>
      <c r="AW1693" s="4">
        <v>42795</v>
      </c>
      <c r="AX1693">
        <v>2.88</v>
      </c>
      <c r="BD1693">
        <v>0</v>
      </c>
      <c r="BN1693" t="s">
        <v>74</v>
      </c>
    </row>
    <row r="1694" spans="1:66">
      <c r="A1694">
        <v>104093</v>
      </c>
      <c r="B1694" t="s">
        <v>379</v>
      </c>
      <c r="C1694" s="1">
        <v>43300101</v>
      </c>
      <c r="D1694" t="s">
        <v>67</v>
      </c>
      <c r="H1694" t="str">
        <f t="shared" si="219"/>
        <v>12572900152</v>
      </c>
      <c r="I1694" t="str">
        <f t="shared" si="220"/>
        <v>06032681006</v>
      </c>
      <c r="K1694" t="str">
        <f>""</f>
        <v/>
      </c>
      <c r="M1694" t="s">
        <v>68</v>
      </c>
      <c r="N1694" t="str">
        <f t="shared" si="215"/>
        <v>FOR</v>
      </c>
      <c r="O1694" t="s">
        <v>69</v>
      </c>
      <c r="P1694" t="s">
        <v>70</v>
      </c>
      <c r="Q1694">
        <v>2015</v>
      </c>
      <c r="R1694" s="4">
        <v>42058</v>
      </c>
      <c r="S1694" s="2">
        <v>42762</v>
      </c>
      <c r="T1694" s="2">
        <v>42762</v>
      </c>
      <c r="U1694" s="4">
        <v>42822</v>
      </c>
      <c r="V1694" t="s">
        <v>71</v>
      </c>
      <c r="W1694" t="str">
        <f>"            25229937"</f>
        <v xml:space="preserve">            25229937</v>
      </c>
      <c r="X1694">
        <v>252.72</v>
      </c>
      <c r="Y1694">
        <v>0</v>
      </c>
      <c r="Z1694" s="5">
        <v>243</v>
      </c>
      <c r="AA1694" s="3">
        <v>-27</v>
      </c>
      <c r="AB1694" s="5">
        <v>-6561</v>
      </c>
      <c r="AC1694">
        <v>243</v>
      </c>
      <c r="AD1694">
        <v>-27</v>
      </c>
      <c r="AE1694" s="1">
        <v>-6561</v>
      </c>
      <c r="AF1694">
        <v>9.7200000000000006</v>
      </c>
      <c r="AJ1694">
        <v>0</v>
      </c>
      <c r="AK1694">
        <v>252.72</v>
      </c>
      <c r="AL1694">
        <v>0</v>
      </c>
      <c r="AM1694">
        <v>0</v>
      </c>
      <c r="AN1694">
        <v>252.72</v>
      </c>
      <c r="AO1694">
        <v>0</v>
      </c>
      <c r="AP1694" s="2">
        <v>42831</v>
      </c>
      <c r="AQ1694" t="s">
        <v>72</v>
      </c>
      <c r="AR1694" t="s">
        <v>72</v>
      </c>
      <c r="AS1694">
        <v>664</v>
      </c>
      <c r="AT1694" s="4">
        <v>42795</v>
      </c>
      <c r="AV1694">
        <v>664</v>
      </c>
      <c r="AW1694" s="4">
        <v>42795</v>
      </c>
      <c r="AX1694">
        <v>9.7200000000000006</v>
      </c>
      <c r="BD1694">
        <v>0</v>
      </c>
      <c r="BN1694" t="s">
        <v>74</v>
      </c>
    </row>
    <row r="1695" spans="1:66">
      <c r="A1695">
        <v>104093</v>
      </c>
      <c r="B1695" t="s">
        <v>379</v>
      </c>
      <c r="C1695" s="1">
        <v>43300101</v>
      </c>
      <c r="D1695" t="s">
        <v>67</v>
      </c>
      <c r="H1695" t="str">
        <f t="shared" si="219"/>
        <v>12572900152</v>
      </c>
      <c r="I1695" t="str">
        <f t="shared" si="220"/>
        <v>06032681006</v>
      </c>
      <c r="K1695" t="str">
        <f>""</f>
        <v/>
      </c>
      <c r="M1695" t="s">
        <v>68</v>
      </c>
      <c r="N1695" t="str">
        <f t="shared" si="215"/>
        <v>FOR</v>
      </c>
      <c r="O1695" t="s">
        <v>69</v>
      </c>
      <c r="P1695" t="s">
        <v>70</v>
      </c>
      <c r="Q1695">
        <v>2015</v>
      </c>
      <c r="R1695" s="4">
        <v>42058</v>
      </c>
      <c r="S1695" s="2">
        <v>42762</v>
      </c>
      <c r="T1695" s="2">
        <v>42762</v>
      </c>
      <c r="U1695" s="4">
        <v>42822</v>
      </c>
      <c r="V1695" t="s">
        <v>71</v>
      </c>
      <c r="W1695" t="str">
        <f>"            25229938"</f>
        <v xml:space="preserve">            25229938</v>
      </c>
      <c r="X1695">
        <v>707.62</v>
      </c>
      <c r="Y1695">
        <v>0</v>
      </c>
      <c r="Z1695" s="5">
        <v>680.4</v>
      </c>
      <c r="AA1695" s="3">
        <v>-27</v>
      </c>
      <c r="AB1695" s="5">
        <v>-18370.8</v>
      </c>
      <c r="AC1695">
        <v>680.4</v>
      </c>
      <c r="AD1695">
        <v>-27</v>
      </c>
      <c r="AE1695" s="1">
        <v>-18370.8</v>
      </c>
      <c r="AF1695">
        <v>27.22</v>
      </c>
      <c r="AJ1695">
        <v>0</v>
      </c>
      <c r="AK1695">
        <v>707.62</v>
      </c>
      <c r="AL1695">
        <v>0</v>
      </c>
      <c r="AM1695">
        <v>0</v>
      </c>
      <c r="AN1695">
        <v>707.62</v>
      </c>
      <c r="AO1695">
        <v>0</v>
      </c>
      <c r="AP1695" s="2">
        <v>42831</v>
      </c>
      <c r="AQ1695" t="s">
        <v>72</v>
      </c>
      <c r="AR1695" t="s">
        <v>72</v>
      </c>
      <c r="AS1695">
        <v>664</v>
      </c>
      <c r="AT1695" s="4">
        <v>42795</v>
      </c>
      <c r="AV1695">
        <v>664</v>
      </c>
      <c r="AW1695" s="4">
        <v>42795</v>
      </c>
      <c r="AX1695">
        <v>27.22</v>
      </c>
      <c r="BD1695">
        <v>0</v>
      </c>
      <c r="BN1695" t="s">
        <v>74</v>
      </c>
    </row>
    <row r="1696" spans="1:66">
      <c r="A1696">
        <v>104093</v>
      </c>
      <c r="B1696" t="s">
        <v>379</v>
      </c>
      <c r="C1696" s="1">
        <v>43300101</v>
      </c>
      <c r="D1696" t="s">
        <v>67</v>
      </c>
      <c r="H1696" t="str">
        <f t="shared" si="219"/>
        <v>12572900152</v>
      </c>
      <c r="I1696" t="str">
        <f t="shared" si="220"/>
        <v>06032681006</v>
      </c>
      <c r="K1696" t="str">
        <f>""</f>
        <v/>
      </c>
      <c r="M1696" t="s">
        <v>68</v>
      </c>
      <c r="N1696" t="str">
        <f t="shared" si="215"/>
        <v>FOR</v>
      </c>
      <c r="O1696" t="s">
        <v>69</v>
      </c>
      <c r="P1696" t="s">
        <v>75</v>
      </c>
      <c r="Q1696">
        <v>2016</v>
      </c>
      <c r="R1696" s="4">
        <v>42431</v>
      </c>
      <c r="S1696" s="2">
        <v>42436</v>
      </c>
      <c r="T1696" s="2">
        <v>42433</v>
      </c>
      <c r="U1696" s="4">
        <v>42493</v>
      </c>
      <c r="V1696" t="s">
        <v>71</v>
      </c>
      <c r="W1696" t="str">
        <f>"            25300913"</f>
        <v xml:space="preserve">            25300913</v>
      </c>
      <c r="X1696" s="1">
        <v>2488.8000000000002</v>
      </c>
      <c r="Y1696">
        <v>0</v>
      </c>
      <c r="Z1696" s="5">
        <v>2040</v>
      </c>
      <c r="AA1696" s="3">
        <v>281</v>
      </c>
      <c r="AB1696" s="5">
        <v>573240</v>
      </c>
      <c r="AC1696" s="1">
        <v>2040</v>
      </c>
      <c r="AD1696">
        <v>281</v>
      </c>
      <c r="AE1696" s="1">
        <v>573240</v>
      </c>
      <c r="AF1696">
        <v>0</v>
      </c>
      <c r="AJ1696">
        <v>0</v>
      </c>
      <c r="AK1696">
        <v>0</v>
      </c>
      <c r="AL1696">
        <v>0</v>
      </c>
      <c r="AM1696">
        <v>0</v>
      </c>
      <c r="AN1696">
        <v>0</v>
      </c>
      <c r="AO1696">
        <v>0</v>
      </c>
      <c r="AP1696" s="2">
        <v>42831</v>
      </c>
      <c r="AQ1696" t="s">
        <v>72</v>
      </c>
      <c r="AR1696" t="s">
        <v>72</v>
      </c>
      <c r="AS1696">
        <v>342</v>
      </c>
      <c r="AT1696" s="4">
        <v>42774</v>
      </c>
      <c r="AU1696" t="s">
        <v>73</v>
      </c>
      <c r="AV1696">
        <v>342</v>
      </c>
      <c r="AW1696" s="4">
        <v>42774</v>
      </c>
      <c r="BD1696">
        <v>0</v>
      </c>
      <c r="BN1696" t="s">
        <v>74</v>
      </c>
    </row>
    <row r="1697" spans="1:66">
      <c r="A1697">
        <v>104093</v>
      </c>
      <c r="B1697" t="s">
        <v>379</v>
      </c>
      <c r="C1697" s="1">
        <v>43300101</v>
      </c>
      <c r="D1697" t="s">
        <v>67</v>
      </c>
      <c r="H1697" t="str">
        <f t="shared" si="219"/>
        <v>12572900152</v>
      </c>
      <c r="I1697" t="str">
        <f t="shared" si="220"/>
        <v>06032681006</v>
      </c>
      <c r="K1697" t="str">
        <f>""</f>
        <v/>
      </c>
      <c r="M1697" t="s">
        <v>68</v>
      </c>
      <c r="N1697" t="str">
        <f t="shared" si="215"/>
        <v>FOR</v>
      </c>
      <c r="O1697" t="s">
        <v>69</v>
      </c>
      <c r="P1697" t="s">
        <v>75</v>
      </c>
      <c r="Q1697">
        <v>2016</v>
      </c>
      <c r="R1697" s="4">
        <v>42432</v>
      </c>
      <c r="S1697" s="2">
        <v>42438</v>
      </c>
      <c r="T1697" s="2">
        <v>42436</v>
      </c>
      <c r="U1697" s="4">
        <v>42496</v>
      </c>
      <c r="V1697" t="s">
        <v>71</v>
      </c>
      <c r="W1697" t="str">
        <f>"            25301130"</f>
        <v xml:space="preserve">            25301130</v>
      </c>
      <c r="X1697">
        <v>746.64</v>
      </c>
      <c r="Y1697">
        <v>0</v>
      </c>
      <c r="Z1697" s="5">
        <v>612</v>
      </c>
      <c r="AA1697" s="3">
        <v>278</v>
      </c>
      <c r="AB1697" s="5">
        <v>170136</v>
      </c>
      <c r="AC1697">
        <v>612</v>
      </c>
      <c r="AD1697">
        <v>278</v>
      </c>
      <c r="AE1697" s="1">
        <v>170136</v>
      </c>
      <c r="AF1697">
        <v>0</v>
      </c>
      <c r="AJ1697">
        <v>0</v>
      </c>
      <c r="AK1697">
        <v>0</v>
      </c>
      <c r="AL1697">
        <v>0</v>
      </c>
      <c r="AM1697">
        <v>0</v>
      </c>
      <c r="AN1697">
        <v>0</v>
      </c>
      <c r="AO1697">
        <v>0</v>
      </c>
      <c r="AP1697" s="2">
        <v>42831</v>
      </c>
      <c r="AQ1697" t="s">
        <v>72</v>
      </c>
      <c r="AR1697" t="s">
        <v>72</v>
      </c>
      <c r="AS1697">
        <v>342</v>
      </c>
      <c r="AT1697" s="4">
        <v>42774</v>
      </c>
      <c r="AU1697" t="s">
        <v>73</v>
      </c>
      <c r="AV1697">
        <v>342</v>
      </c>
      <c r="AW1697" s="4">
        <v>42774</v>
      </c>
      <c r="BD1697">
        <v>0</v>
      </c>
      <c r="BN1697" t="s">
        <v>74</v>
      </c>
    </row>
    <row r="1698" spans="1:66">
      <c r="A1698">
        <v>104093</v>
      </c>
      <c r="B1698" t="s">
        <v>379</v>
      </c>
      <c r="C1698" s="1">
        <v>43300101</v>
      </c>
      <c r="D1698" t="s">
        <v>67</v>
      </c>
      <c r="H1698" t="str">
        <f t="shared" si="219"/>
        <v>12572900152</v>
      </c>
      <c r="I1698" t="str">
        <f t="shared" si="220"/>
        <v>06032681006</v>
      </c>
      <c r="K1698" t="str">
        <f>""</f>
        <v/>
      </c>
      <c r="M1698" t="s">
        <v>68</v>
      </c>
      <c r="N1698" t="str">
        <f t="shared" si="215"/>
        <v>FOR</v>
      </c>
      <c r="O1698" t="s">
        <v>69</v>
      </c>
      <c r="P1698" t="s">
        <v>75</v>
      </c>
      <c r="Q1698">
        <v>2016</v>
      </c>
      <c r="R1698" s="4">
        <v>42440</v>
      </c>
      <c r="S1698" s="2">
        <v>42446</v>
      </c>
      <c r="T1698" s="2">
        <v>42443</v>
      </c>
      <c r="U1698" s="4">
        <v>42503</v>
      </c>
      <c r="V1698" t="s">
        <v>71</v>
      </c>
      <c r="W1698" t="str">
        <f>"            25302534"</f>
        <v xml:space="preserve">            25302534</v>
      </c>
      <c r="X1698">
        <v>926.64</v>
      </c>
      <c r="Y1698">
        <v>0</v>
      </c>
      <c r="Z1698" s="5">
        <v>891</v>
      </c>
      <c r="AA1698" s="3">
        <v>271</v>
      </c>
      <c r="AB1698" s="5">
        <v>241461</v>
      </c>
      <c r="AC1698">
        <v>891</v>
      </c>
      <c r="AD1698">
        <v>271</v>
      </c>
      <c r="AE1698" s="1">
        <v>241461</v>
      </c>
      <c r="AF1698">
        <v>0</v>
      </c>
      <c r="AJ1698">
        <v>0</v>
      </c>
      <c r="AK1698">
        <v>0</v>
      </c>
      <c r="AL1698">
        <v>0</v>
      </c>
      <c r="AM1698">
        <v>0</v>
      </c>
      <c r="AN1698">
        <v>0</v>
      </c>
      <c r="AO1698">
        <v>0</v>
      </c>
      <c r="AP1698" s="2">
        <v>42831</v>
      </c>
      <c r="AQ1698" t="s">
        <v>72</v>
      </c>
      <c r="AR1698" t="s">
        <v>72</v>
      </c>
      <c r="AS1698">
        <v>342</v>
      </c>
      <c r="AT1698" s="4">
        <v>42774</v>
      </c>
      <c r="AU1698" t="s">
        <v>73</v>
      </c>
      <c r="AV1698">
        <v>342</v>
      </c>
      <c r="AW1698" s="4">
        <v>42774</v>
      </c>
      <c r="BD1698">
        <v>0</v>
      </c>
      <c r="BN1698" t="s">
        <v>74</v>
      </c>
    </row>
    <row r="1699" spans="1:66">
      <c r="A1699">
        <v>104093</v>
      </c>
      <c r="B1699" t="s">
        <v>379</v>
      </c>
      <c r="C1699" s="1">
        <v>43300101</v>
      </c>
      <c r="D1699" t="s">
        <v>67</v>
      </c>
      <c r="H1699" t="str">
        <f t="shared" si="219"/>
        <v>12572900152</v>
      </c>
      <c r="I1699" t="str">
        <f t="shared" si="220"/>
        <v>06032681006</v>
      </c>
      <c r="K1699" t="str">
        <f>""</f>
        <v/>
      </c>
      <c r="M1699" t="s">
        <v>68</v>
      </c>
      <c r="N1699" t="str">
        <f t="shared" si="215"/>
        <v>FOR</v>
      </c>
      <c r="O1699" t="s">
        <v>69</v>
      </c>
      <c r="P1699" t="s">
        <v>75</v>
      </c>
      <c r="Q1699">
        <v>2016</v>
      </c>
      <c r="R1699" s="4">
        <v>42440</v>
      </c>
      <c r="S1699" s="2">
        <v>42446</v>
      </c>
      <c r="T1699" s="2">
        <v>42443</v>
      </c>
      <c r="U1699" s="4">
        <v>42503</v>
      </c>
      <c r="V1699" t="s">
        <v>71</v>
      </c>
      <c r="W1699" t="str">
        <f>"            25302536"</f>
        <v xml:space="preserve">            25302536</v>
      </c>
      <c r="X1699">
        <v>252.72</v>
      </c>
      <c r="Y1699">
        <v>0</v>
      </c>
      <c r="Z1699" s="5">
        <v>243</v>
      </c>
      <c r="AA1699" s="3">
        <v>271</v>
      </c>
      <c r="AB1699" s="5">
        <v>65853</v>
      </c>
      <c r="AC1699">
        <v>243</v>
      </c>
      <c r="AD1699">
        <v>271</v>
      </c>
      <c r="AE1699" s="1">
        <v>65853</v>
      </c>
      <c r="AF1699">
        <v>0</v>
      </c>
      <c r="AJ1699">
        <v>0</v>
      </c>
      <c r="AK1699">
        <v>0</v>
      </c>
      <c r="AL1699">
        <v>0</v>
      </c>
      <c r="AM1699">
        <v>0</v>
      </c>
      <c r="AN1699">
        <v>0</v>
      </c>
      <c r="AO1699">
        <v>0</v>
      </c>
      <c r="AP1699" s="2">
        <v>42831</v>
      </c>
      <c r="AQ1699" t="s">
        <v>72</v>
      </c>
      <c r="AR1699" t="s">
        <v>72</v>
      </c>
      <c r="AS1699">
        <v>342</v>
      </c>
      <c r="AT1699" s="4">
        <v>42774</v>
      </c>
      <c r="AU1699" t="s">
        <v>73</v>
      </c>
      <c r="AV1699">
        <v>342</v>
      </c>
      <c r="AW1699" s="4">
        <v>42774</v>
      </c>
      <c r="BD1699">
        <v>0</v>
      </c>
      <c r="BN1699" t="s">
        <v>74</v>
      </c>
    </row>
    <row r="1700" spans="1:66">
      <c r="A1700">
        <v>104093</v>
      </c>
      <c r="B1700" t="s">
        <v>379</v>
      </c>
      <c r="C1700" s="1">
        <v>43300101</v>
      </c>
      <c r="D1700" t="s">
        <v>67</v>
      </c>
      <c r="H1700" t="str">
        <f t="shared" si="219"/>
        <v>12572900152</v>
      </c>
      <c r="I1700" t="str">
        <f t="shared" si="220"/>
        <v>06032681006</v>
      </c>
      <c r="K1700" t="str">
        <f>""</f>
        <v/>
      </c>
      <c r="M1700" t="s">
        <v>68</v>
      </c>
      <c r="N1700" t="str">
        <f t="shared" si="215"/>
        <v>FOR</v>
      </c>
      <c r="O1700" t="s">
        <v>69</v>
      </c>
      <c r="P1700" t="s">
        <v>75</v>
      </c>
      <c r="Q1700">
        <v>2016</v>
      </c>
      <c r="R1700" s="4">
        <v>42440</v>
      </c>
      <c r="S1700" s="2">
        <v>42446</v>
      </c>
      <c r="T1700" s="2">
        <v>42443</v>
      </c>
      <c r="U1700" s="4">
        <v>42503</v>
      </c>
      <c r="V1700" t="s">
        <v>71</v>
      </c>
      <c r="W1700" t="str">
        <f>"            25302538"</f>
        <v xml:space="preserve">            25302538</v>
      </c>
      <c r="X1700">
        <v>74.88</v>
      </c>
      <c r="Y1700">
        <v>0</v>
      </c>
      <c r="Z1700" s="5">
        <v>72</v>
      </c>
      <c r="AA1700" s="3">
        <v>271</v>
      </c>
      <c r="AB1700" s="5">
        <v>19512</v>
      </c>
      <c r="AC1700">
        <v>72</v>
      </c>
      <c r="AD1700">
        <v>271</v>
      </c>
      <c r="AE1700" s="1">
        <v>19512</v>
      </c>
      <c r="AF1700">
        <v>0</v>
      </c>
      <c r="AJ1700">
        <v>0</v>
      </c>
      <c r="AK1700">
        <v>0</v>
      </c>
      <c r="AL1700">
        <v>0</v>
      </c>
      <c r="AM1700">
        <v>0</v>
      </c>
      <c r="AN1700">
        <v>0</v>
      </c>
      <c r="AO1700">
        <v>0</v>
      </c>
      <c r="AP1700" s="2">
        <v>42831</v>
      </c>
      <c r="AQ1700" t="s">
        <v>72</v>
      </c>
      <c r="AR1700" t="s">
        <v>72</v>
      </c>
      <c r="AS1700">
        <v>342</v>
      </c>
      <c r="AT1700" s="4">
        <v>42774</v>
      </c>
      <c r="AU1700" t="s">
        <v>73</v>
      </c>
      <c r="AV1700">
        <v>342</v>
      </c>
      <c r="AW1700" s="4">
        <v>42774</v>
      </c>
      <c r="BD1700">
        <v>0</v>
      </c>
      <c r="BN1700" t="s">
        <v>74</v>
      </c>
    </row>
    <row r="1701" spans="1:66">
      <c r="A1701">
        <v>104093</v>
      </c>
      <c r="B1701" t="s">
        <v>379</v>
      </c>
      <c r="C1701" s="1">
        <v>43300101</v>
      </c>
      <c r="D1701" t="s">
        <v>67</v>
      </c>
      <c r="H1701" t="str">
        <f t="shared" si="219"/>
        <v>12572900152</v>
      </c>
      <c r="I1701" t="str">
        <f t="shared" si="220"/>
        <v>06032681006</v>
      </c>
      <c r="K1701" t="str">
        <f>""</f>
        <v/>
      </c>
      <c r="M1701" t="s">
        <v>68</v>
      </c>
      <c r="N1701" t="str">
        <f t="shared" si="215"/>
        <v>FOR</v>
      </c>
      <c r="O1701" t="s">
        <v>69</v>
      </c>
      <c r="P1701" t="s">
        <v>75</v>
      </c>
      <c r="Q1701">
        <v>2016</v>
      </c>
      <c r="R1701" s="4">
        <v>42440</v>
      </c>
      <c r="S1701" s="2">
        <v>42446</v>
      </c>
      <c r="T1701" s="2">
        <v>42443</v>
      </c>
      <c r="U1701" s="4">
        <v>42503</v>
      </c>
      <c r="V1701" t="s">
        <v>71</v>
      </c>
      <c r="W1701" t="str">
        <f>"            25302540"</f>
        <v xml:space="preserve">            25302540</v>
      </c>
      <c r="X1701">
        <v>74.88</v>
      </c>
      <c r="Y1701">
        <v>0</v>
      </c>
      <c r="Z1701" s="5">
        <v>72</v>
      </c>
      <c r="AA1701" s="3">
        <v>271</v>
      </c>
      <c r="AB1701" s="5">
        <v>19512</v>
      </c>
      <c r="AC1701">
        <v>72</v>
      </c>
      <c r="AD1701">
        <v>271</v>
      </c>
      <c r="AE1701" s="1">
        <v>19512</v>
      </c>
      <c r="AF1701">
        <v>0</v>
      </c>
      <c r="AJ1701">
        <v>0</v>
      </c>
      <c r="AK1701">
        <v>0</v>
      </c>
      <c r="AL1701">
        <v>0</v>
      </c>
      <c r="AM1701">
        <v>0</v>
      </c>
      <c r="AN1701">
        <v>0</v>
      </c>
      <c r="AO1701">
        <v>0</v>
      </c>
      <c r="AP1701" s="2">
        <v>42831</v>
      </c>
      <c r="AQ1701" t="s">
        <v>72</v>
      </c>
      <c r="AR1701" t="s">
        <v>72</v>
      </c>
      <c r="AS1701">
        <v>342</v>
      </c>
      <c r="AT1701" s="4">
        <v>42774</v>
      </c>
      <c r="AU1701" t="s">
        <v>73</v>
      </c>
      <c r="AV1701">
        <v>342</v>
      </c>
      <c r="AW1701" s="4">
        <v>42774</v>
      </c>
      <c r="BD1701">
        <v>0</v>
      </c>
      <c r="BN1701" t="s">
        <v>74</v>
      </c>
    </row>
    <row r="1702" spans="1:66">
      <c r="A1702">
        <v>104093</v>
      </c>
      <c r="B1702" t="s">
        <v>379</v>
      </c>
      <c r="C1702" s="1">
        <v>43300101</v>
      </c>
      <c r="D1702" t="s">
        <v>67</v>
      </c>
      <c r="H1702" t="str">
        <f t="shared" si="219"/>
        <v>12572900152</v>
      </c>
      <c r="I1702" t="str">
        <f t="shared" si="220"/>
        <v>06032681006</v>
      </c>
      <c r="K1702" t="str">
        <f>""</f>
        <v/>
      </c>
      <c r="M1702" t="s">
        <v>68</v>
      </c>
      <c r="N1702" t="str">
        <f t="shared" si="215"/>
        <v>FOR</v>
      </c>
      <c r="O1702" t="s">
        <v>69</v>
      </c>
      <c r="P1702" t="s">
        <v>75</v>
      </c>
      <c r="Q1702">
        <v>2016</v>
      </c>
      <c r="R1702" s="4">
        <v>42440</v>
      </c>
      <c r="S1702" s="2">
        <v>42446</v>
      </c>
      <c r="T1702" s="2">
        <v>42443</v>
      </c>
      <c r="U1702" s="4">
        <v>42503</v>
      </c>
      <c r="V1702" t="s">
        <v>71</v>
      </c>
      <c r="W1702" t="str">
        <f>"            25302542"</f>
        <v xml:space="preserve">            25302542</v>
      </c>
      <c r="X1702">
        <v>74.88</v>
      </c>
      <c r="Y1702">
        <v>0</v>
      </c>
      <c r="Z1702" s="5">
        <v>72</v>
      </c>
      <c r="AA1702" s="3">
        <v>271</v>
      </c>
      <c r="AB1702" s="5">
        <v>19512</v>
      </c>
      <c r="AC1702">
        <v>72</v>
      </c>
      <c r="AD1702">
        <v>271</v>
      </c>
      <c r="AE1702" s="1">
        <v>19512</v>
      </c>
      <c r="AF1702">
        <v>0</v>
      </c>
      <c r="AJ1702">
        <v>0</v>
      </c>
      <c r="AK1702">
        <v>0</v>
      </c>
      <c r="AL1702">
        <v>0</v>
      </c>
      <c r="AM1702">
        <v>0</v>
      </c>
      <c r="AN1702">
        <v>0</v>
      </c>
      <c r="AO1702">
        <v>0</v>
      </c>
      <c r="AP1702" s="2">
        <v>42831</v>
      </c>
      <c r="AQ1702" t="s">
        <v>72</v>
      </c>
      <c r="AR1702" t="s">
        <v>72</v>
      </c>
      <c r="AS1702">
        <v>342</v>
      </c>
      <c r="AT1702" s="4">
        <v>42774</v>
      </c>
      <c r="AU1702" t="s">
        <v>73</v>
      </c>
      <c r="AV1702">
        <v>342</v>
      </c>
      <c r="AW1702" s="4">
        <v>42774</v>
      </c>
      <c r="BD1702">
        <v>0</v>
      </c>
      <c r="BN1702" t="s">
        <v>74</v>
      </c>
    </row>
    <row r="1703" spans="1:66">
      <c r="A1703">
        <v>104093</v>
      </c>
      <c r="B1703" t="s">
        <v>379</v>
      </c>
      <c r="C1703" s="1">
        <v>43300101</v>
      </c>
      <c r="D1703" t="s">
        <v>67</v>
      </c>
      <c r="H1703" t="str">
        <f t="shared" si="219"/>
        <v>12572900152</v>
      </c>
      <c r="I1703" t="str">
        <f t="shared" si="220"/>
        <v>06032681006</v>
      </c>
      <c r="K1703" t="str">
        <f>""</f>
        <v/>
      </c>
      <c r="M1703" t="s">
        <v>68</v>
      </c>
      <c r="N1703" t="str">
        <f t="shared" si="215"/>
        <v>FOR</v>
      </c>
      <c r="O1703" t="s">
        <v>69</v>
      </c>
      <c r="P1703" t="s">
        <v>75</v>
      </c>
      <c r="Q1703">
        <v>2016</v>
      </c>
      <c r="R1703" s="4">
        <v>42440</v>
      </c>
      <c r="S1703" s="2">
        <v>42446</v>
      </c>
      <c r="T1703" s="2">
        <v>42443</v>
      </c>
      <c r="U1703" s="4">
        <v>42503</v>
      </c>
      <c r="V1703" t="s">
        <v>71</v>
      </c>
      <c r="W1703" t="str">
        <f>"            25302544"</f>
        <v xml:space="preserve">            25302544</v>
      </c>
      <c r="X1703">
        <v>252.72</v>
      </c>
      <c r="Y1703">
        <v>0</v>
      </c>
      <c r="Z1703" s="5">
        <v>243</v>
      </c>
      <c r="AA1703" s="3">
        <v>271</v>
      </c>
      <c r="AB1703" s="5">
        <v>65853</v>
      </c>
      <c r="AC1703">
        <v>243</v>
      </c>
      <c r="AD1703">
        <v>271</v>
      </c>
      <c r="AE1703" s="1">
        <v>65853</v>
      </c>
      <c r="AF1703">
        <v>0</v>
      </c>
      <c r="AJ1703">
        <v>0</v>
      </c>
      <c r="AK1703">
        <v>0</v>
      </c>
      <c r="AL1703">
        <v>0</v>
      </c>
      <c r="AM1703">
        <v>0</v>
      </c>
      <c r="AN1703">
        <v>0</v>
      </c>
      <c r="AO1703">
        <v>0</v>
      </c>
      <c r="AP1703" s="2">
        <v>42831</v>
      </c>
      <c r="AQ1703" t="s">
        <v>72</v>
      </c>
      <c r="AR1703" t="s">
        <v>72</v>
      </c>
      <c r="AS1703">
        <v>342</v>
      </c>
      <c r="AT1703" s="4">
        <v>42774</v>
      </c>
      <c r="AU1703" t="s">
        <v>73</v>
      </c>
      <c r="AV1703">
        <v>342</v>
      </c>
      <c r="AW1703" s="4">
        <v>42774</v>
      </c>
      <c r="BD1703">
        <v>0</v>
      </c>
      <c r="BN1703" t="s">
        <v>74</v>
      </c>
    </row>
    <row r="1704" spans="1:66">
      <c r="A1704">
        <v>104093</v>
      </c>
      <c r="B1704" t="s">
        <v>379</v>
      </c>
      <c r="C1704" s="1">
        <v>43300101</v>
      </c>
      <c r="D1704" t="s">
        <v>67</v>
      </c>
      <c r="H1704" t="str">
        <f t="shared" si="219"/>
        <v>12572900152</v>
      </c>
      <c r="I1704" t="str">
        <f t="shared" si="220"/>
        <v>06032681006</v>
      </c>
      <c r="K1704" t="str">
        <f>""</f>
        <v/>
      </c>
      <c r="M1704" t="s">
        <v>68</v>
      </c>
      <c r="N1704" t="str">
        <f t="shared" si="215"/>
        <v>FOR</v>
      </c>
      <c r="O1704" t="s">
        <v>69</v>
      </c>
      <c r="P1704" t="s">
        <v>75</v>
      </c>
      <c r="Q1704">
        <v>2016</v>
      </c>
      <c r="R1704" s="4">
        <v>42440</v>
      </c>
      <c r="S1704" s="2">
        <v>42446</v>
      </c>
      <c r="T1704" s="2">
        <v>42443</v>
      </c>
      <c r="U1704" s="4">
        <v>42503</v>
      </c>
      <c r="V1704" t="s">
        <v>71</v>
      </c>
      <c r="W1704" t="str">
        <f>"            25302546"</f>
        <v xml:space="preserve">            25302546</v>
      </c>
      <c r="X1704">
        <v>926.64</v>
      </c>
      <c r="Y1704">
        <v>0</v>
      </c>
      <c r="Z1704" s="5">
        <v>891</v>
      </c>
      <c r="AA1704" s="3">
        <v>271</v>
      </c>
      <c r="AB1704" s="5">
        <v>241461</v>
      </c>
      <c r="AC1704">
        <v>891</v>
      </c>
      <c r="AD1704">
        <v>271</v>
      </c>
      <c r="AE1704" s="1">
        <v>241461</v>
      </c>
      <c r="AF1704">
        <v>0</v>
      </c>
      <c r="AJ1704">
        <v>0</v>
      </c>
      <c r="AK1704">
        <v>0</v>
      </c>
      <c r="AL1704">
        <v>0</v>
      </c>
      <c r="AM1704">
        <v>0</v>
      </c>
      <c r="AN1704">
        <v>0</v>
      </c>
      <c r="AO1704">
        <v>0</v>
      </c>
      <c r="AP1704" s="2">
        <v>42831</v>
      </c>
      <c r="AQ1704" t="s">
        <v>72</v>
      </c>
      <c r="AR1704" t="s">
        <v>72</v>
      </c>
      <c r="AS1704">
        <v>342</v>
      </c>
      <c r="AT1704" s="4">
        <v>42774</v>
      </c>
      <c r="AU1704" t="s">
        <v>73</v>
      </c>
      <c r="AV1704">
        <v>342</v>
      </c>
      <c r="AW1704" s="4">
        <v>42774</v>
      </c>
      <c r="BD1704">
        <v>0</v>
      </c>
      <c r="BN1704" t="s">
        <v>74</v>
      </c>
    </row>
    <row r="1705" spans="1:66">
      <c r="A1705">
        <v>104093</v>
      </c>
      <c r="B1705" t="s">
        <v>379</v>
      </c>
      <c r="C1705" s="1">
        <v>43300101</v>
      </c>
      <c r="D1705" t="s">
        <v>67</v>
      </c>
      <c r="H1705" t="str">
        <f t="shared" si="219"/>
        <v>12572900152</v>
      </c>
      <c r="I1705" t="str">
        <f t="shared" si="220"/>
        <v>06032681006</v>
      </c>
      <c r="K1705" t="str">
        <f>""</f>
        <v/>
      </c>
      <c r="M1705" t="s">
        <v>68</v>
      </c>
      <c r="N1705" t="str">
        <f t="shared" si="215"/>
        <v>FOR</v>
      </c>
      <c r="O1705" t="s">
        <v>69</v>
      </c>
      <c r="P1705" t="s">
        <v>75</v>
      </c>
      <c r="Q1705">
        <v>2016</v>
      </c>
      <c r="R1705" s="4">
        <v>42440</v>
      </c>
      <c r="S1705" s="2">
        <v>42446</v>
      </c>
      <c r="T1705" s="2">
        <v>42443</v>
      </c>
      <c r="U1705" s="4">
        <v>42503</v>
      </c>
      <c r="V1705" t="s">
        <v>71</v>
      </c>
      <c r="W1705" t="str">
        <f>"            25302548"</f>
        <v xml:space="preserve">            25302548</v>
      </c>
      <c r="X1705">
        <v>74.88</v>
      </c>
      <c r="Y1705">
        <v>0</v>
      </c>
      <c r="Z1705" s="5">
        <v>72</v>
      </c>
      <c r="AA1705" s="3">
        <v>271</v>
      </c>
      <c r="AB1705" s="5">
        <v>19512</v>
      </c>
      <c r="AC1705">
        <v>72</v>
      </c>
      <c r="AD1705">
        <v>271</v>
      </c>
      <c r="AE1705" s="1">
        <v>19512</v>
      </c>
      <c r="AF1705">
        <v>0</v>
      </c>
      <c r="AJ1705">
        <v>0</v>
      </c>
      <c r="AK1705">
        <v>0</v>
      </c>
      <c r="AL1705">
        <v>0</v>
      </c>
      <c r="AM1705">
        <v>0</v>
      </c>
      <c r="AN1705">
        <v>0</v>
      </c>
      <c r="AO1705">
        <v>0</v>
      </c>
      <c r="AP1705" s="2">
        <v>42831</v>
      </c>
      <c r="AQ1705" t="s">
        <v>72</v>
      </c>
      <c r="AR1705" t="s">
        <v>72</v>
      </c>
      <c r="AS1705">
        <v>342</v>
      </c>
      <c r="AT1705" s="4">
        <v>42774</v>
      </c>
      <c r="AU1705" t="s">
        <v>73</v>
      </c>
      <c r="AV1705">
        <v>342</v>
      </c>
      <c r="AW1705" s="4">
        <v>42774</v>
      </c>
      <c r="BD1705">
        <v>0</v>
      </c>
      <c r="BN1705" t="s">
        <v>74</v>
      </c>
    </row>
    <row r="1706" spans="1:66">
      <c r="A1706">
        <v>104093</v>
      </c>
      <c r="B1706" t="s">
        <v>379</v>
      </c>
      <c r="C1706" s="1">
        <v>43300101</v>
      </c>
      <c r="D1706" t="s">
        <v>67</v>
      </c>
      <c r="H1706" t="str">
        <f t="shared" si="219"/>
        <v>12572900152</v>
      </c>
      <c r="I1706" t="str">
        <f t="shared" si="220"/>
        <v>06032681006</v>
      </c>
      <c r="K1706" t="str">
        <f>""</f>
        <v/>
      </c>
      <c r="M1706" t="s">
        <v>68</v>
      </c>
      <c r="N1706" t="str">
        <f t="shared" ref="N1706:N1769" si="221">"FOR"</f>
        <v>FOR</v>
      </c>
      <c r="O1706" t="s">
        <v>69</v>
      </c>
      <c r="P1706" t="s">
        <v>75</v>
      </c>
      <c r="Q1706">
        <v>2016</v>
      </c>
      <c r="R1706" s="4">
        <v>42440</v>
      </c>
      <c r="S1706" s="2">
        <v>42446</v>
      </c>
      <c r="T1706" s="2">
        <v>42443</v>
      </c>
      <c r="U1706" s="4">
        <v>42503</v>
      </c>
      <c r="V1706" t="s">
        <v>71</v>
      </c>
      <c r="W1706" t="str">
        <f>"            25302549"</f>
        <v xml:space="preserve">            25302549</v>
      </c>
      <c r="X1706">
        <v>74.88</v>
      </c>
      <c r="Y1706">
        <v>0</v>
      </c>
      <c r="Z1706" s="5">
        <v>72</v>
      </c>
      <c r="AA1706" s="3">
        <v>271</v>
      </c>
      <c r="AB1706" s="5">
        <v>19512</v>
      </c>
      <c r="AC1706">
        <v>72</v>
      </c>
      <c r="AD1706">
        <v>271</v>
      </c>
      <c r="AE1706" s="1">
        <v>19512</v>
      </c>
      <c r="AF1706">
        <v>0</v>
      </c>
      <c r="AJ1706">
        <v>0</v>
      </c>
      <c r="AK1706">
        <v>0</v>
      </c>
      <c r="AL1706">
        <v>0</v>
      </c>
      <c r="AM1706">
        <v>0</v>
      </c>
      <c r="AN1706">
        <v>0</v>
      </c>
      <c r="AO1706">
        <v>0</v>
      </c>
      <c r="AP1706" s="2">
        <v>42831</v>
      </c>
      <c r="AQ1706" t="s">
        <v>72</v>
      </c>
      <c r="AR1706" t="s">
        <v>72</v>
      </c>
      <c r="AS1706">
        <v>342</v>
      </c>
      <c r="AT1706" s="4">
        <v>42774</v>
      </c>
      <c r="AU1706" t="s">
        <v>73</v>
      </c>
      <c r="AV1706">
        <v>342</v>
      </c>
      <c r="AW1706" s="4">
        <v>42774</v>
      </c>
      <c r="BD1706">
        <v>0</v>
      </c>
      <c r="BN1706" t="s">
        <v>74</v>
      </c>
    </row>
    <row r="1707" spans="1:66">
      <c r="A1707">
        <v>104093</v>
      </c>
      <c r="B1707" t="s">
        <v>379</v>
      </c>
      <c r="C1707" s="1">
        <v>43300101</v>
      </c>
      <c r="D1707" t="s">
        <v>67</v>
      </c>
      <c r="H1707" t="str">
        <f t="shared" si="219"/>
        <v>12572900152</v>
      </c>
      <c r="I1707" t="str">
        <f t="shared" si="220"/>
        <v>06032681006</v>
      </c>
      <c r="K1707" t="str">
        <f>""</f>
        <v/>
      </c>
      <c r="M1707" t="s">
        <v>68</v>
      </c>
      <c r="N1707" t="str">
        <f t="shared" si="221"/>
        <v>FOR</v>
      </c>
      <c r="O1707" t="s">
        <v>69</v>
      </c>
      <c r="P1707" t="s">
        <v>75</v>
      </c>
      <c r="Q1707">
        <v>2016</v>
      </c>
      <c r="R1707" s="4">
        <v>42444</v>
      </c>
      <c r="S1707" s="2">
        <v>42446</v>
      </c>
      <c r="T1707" s="2">
        <v>42445</v>
      </c>
      <c r="U1707" s="4">
        <v>42505</v>
      </c>
      <c r="V1707" t="s">
        <v>71</v>
      </c>
      <c r="W1707" t="str">
        <f>"            25303112"</f>
        <v xml:space="preserve">            25303112</v>
      </c>
      <c r="X1707">
        <v>74.88</v>
      </c>
      <c r="Y1707">
        <v>0</v>
      </c>
      <c r="Z1707" s="5">
        <v>72</v>
      </c>
      <c r="AA1707" s="3">
        <v>269</v>
      </c>
      <c r="AB1707" s="5">
        <v>19368</v>
      </c>
      <c r="AC1707">
        <v>72</v>
      </c>
      <c r="AD1707">
        <v>269</v>
      </c>
      <c r="AE1707" s="1">
        <v>19368</v>
      </c>
      <c r="AF1707">
        <v>0</v>
      </c>
      <c r="AJ1707">
        <v>0</v>
      </c>
      <c r="AK1707">
        <v>0</v>
      </c>
      <c r="AL1707">
        <v>0</v>
      </c>
      <c r="AM1707">
        <v>0</v>
      </c>
      <c r="AN1707">
        <v>0</v>
      </c>
      <c r="AO1707">
        <v>0</v>
      </c>
      <c r="AP1707" s="2">
        <v>42831</v>
      </c>
      <c r="AQ1707" t="s">
        <v>72</v>
      </c>
      <c r="AR1707" t="s">
        <v>72</v>
      </c>
      <c r="AS1707">
        <v>342</v>
      </c>
      <c r="AT1707" s="4">
        <v>42774</v>
      </c>
      <c r="AU1707" t="s">
        <v>73</v>
      </c>
      <c r="AV1707">
        <v>342</v>
      </c>
      <c r="AW1707" s="4">
        <v>42774</v>
      </c>
      <c r="BD1707">
        <v>0</v>
      </c>
      <c r="BN1707" t="s">
        <v>74</v>
      </c>
    </row>
    <row r="1708" spans="1:66">
      <c r="A1708">
        <v>104093</v>
      </c>
      <c r="B1708" t="s">
        <v>379</v>
      </c>
      <c r="C1708" s="1">
        <v>43300101</v>
      </c>
      <c r="D1708" t="s">
        <v>67</v>
      </c>
      <c r="H1708" t="str">
        <f t="shared" si="219"/>
        <v>12572900152</v>
      </c>
      <c r="I1708" t="str">
        <f t="shared" si="220"/>
        <v>06032681006</v>
      </c>
      <c r="K1708" t="str">
        <f>""</f>
        <v/>
      </c>
      <c r="M1708" t="s">
        <v>68</v>
      </c>
      <c r="N1708" t="str">
        <f t="shared" si="221"/>
        <v>FOR</v>
      </c>
      <c r="O1708" t="s">
        <v>69</v>
      </c>
      <c r="P1708" t="s">
        <v>75</v>
      </c>
      <c r="Q1708">
        <v>2016</v>
      </c>
      <c r="R1708" s="4">
        <v>42444</v>
      </c>
      <c r="S1708" s="2">
        <v>42713</v>
      </c>
      <c r="T1708" s="2">
        <v>42445</v>
      </c>
      <c r="U1708" s="4">
        <v>42505</v>
      </c>
      <c r="V1708" t="s">
        <v>71</v>
      </c>
      <c r="W1708" t="str">
        <f>"            25303113"</f>
        <v xml:space="preserve">            25303113</v>
      </c>
      <c r="X1708">
        <v>74.88</v>
      </c>
      <c r="Y1708">
        <v>0</v>
      </c>
      <c r="Z1708" s="5">
        <v>72</v>
      </c>
      <c r="AA1708" s="3">
        <v>290</v>
      </c>
      <c r="AB1708" s="5">
        <v>20880</v>
      </c>
      <c r="AC1708">
        <v>72</v>
      </c>
      <c r="AD1708">
        <v>290</v>
      </c>
      <c r="AE1708" s="1">
        <v>20880</v>
      </c>
      <c r="AF1708">
        <v>2.88</v>
      </c>
      <c r="AJ1708">
        <v>0</v>
      </c>
      <c r="AK1708">
        <v>0</v>
      </c>
      <c r="AL1708">
        <v>0</v>
      </c>
      <c r="AM1708">
        <v>0</v>
      </c>
      <c r="AN1708">
        <v>0</v>
      </c>
      <c r="AO1708">
        <v>0</v>
      </c>
      <c r="AP1708" s="2">
        <v>42831</v>
      </c>
      <c r="AQ1708" t="s">
        <v>72</v>
      </c>
      <c r="AR1708" t="s">
        <v>72</v>
      </c>
      <c r="AS1708">
        <v>664</v>
      </c>
      <c r="AT1708" s="4">
        <v>42795</v>
      </c>
      <c r="AU1708" t="s">
        <v>73</v>
      </c>
      <c r="AV1708">
        <v>664</v>
      </c>
      <c r="AW1708" s="4">
        <v>42795</v>
      </c>
      <c r="BD1708">
        <v>2.88</v>
      </c>
      <c r="BN1708" t="s">
        <v>74</v>
      </c>
    </row>
    <row r="1709" spans="1:66">
      <c r="A1709">
        <v>104093</v>
      </c>
      <c r="B1709" t="s">
        <v>379</v>
      </c>
      <c r="C1709" s="1">
        <v>43300101</v>
      </c>
      <c r="D1709" t="s">
        <v>67</v>
      </c>
      <c r="H1709" t="str">
        <f t="shared" si="219"/>
        <v>12572900152</v>
      </c>
      <c r="I1709" t="str">
        <f t="shared" si="220"/>
        <v>06032681006</v>
      </c>
      <c r="K1709" t="str">
        <f>""</f>
        <v/>
      </c>
      <c r="M1709" t="s">
        <v>68</v>
      </c>
      <c r="N1709" t="str">
        <f t="shared" si="221"/>
        <v>FOR</v>
      </c>
      <c r="O1709" t="s">
        <v>69</v>
      </c>
      <c r="P1709" t="s">
        <v>75</v>
      </c>
      <c r="Q1709">
        <v>2016</v>
      </c>
      <c r="R1709" s="4">
        <v>42444</v>
      </c>
      <c r="S1709" s="2">
        <v>42446</v>
      </c>
      <c r="T1709" s="2">
        <v>42445</v>
      </c>
      <c r="U1709" s="4">
        <v>42505</v>
      </c>
      <c r="V1709" t="s">
        <v>71</v>
      </c>
      <c r="W1709" t="str">
        <f>"            25303114"</f>
        <v xml:space="preserve">            25303114</v>
      </c>
      <c r="X1709">
        <v>74.88</v>
      </c>
      <c r="Y1709">
        <v>0</v>
      </c>
      <c r="Z1709" s="5">
        <v>72</v>
      </c>
      <c r="AA1709" s="3">
        <v>269</v>
      </c>
      <c r="AB1709" s="5">
        <v>19368</v>
      </c>
      <c r="AC1709">
        <v>72</v>
      </c>
      <c r="AD1709">
        <v>269</v>
      </c>
      <c r="AE1709" s="1">
        <v>19368</v>
      </c>
      <c r="AF1709">
        <v>0</v>
      </c>
      <c r="AJ1709">
        <v>0</v>
      </c>
      <c r="AK1709">
        <v>0</v>
      </c>
      <c r="AL1709">
        <v>0</v>
      </c>
      <c r="AM1709">
        <v>0</v>
      </c>
      <c r="AN1709">
        <v>0</v>
      </c>
      <c r="AO1709">
        <v>0</v>
      </c>
      <c r="AP1709" s="2">
        <v>42831</v>
      </c>
      <c r="AQ1709" t="s">
        <v>72</v>
      </c>
      <c r="AR1709" t="s">
        <v>72</v>
      </c>
      <c r="AS1709">
        <v>342</v>
      </c>
      <c r="AT1709" s="4">
        <v>42774</v>
      </c>
      <c r="AU1709" t="s">
        <v>73</v>
      </c>
      <c r="AV1709">
        <v>342</v>
      </c>
      <c r="AW1709" s="4">
        <v>42774</v>
      </c>
      <c r="BD1709">
        <v>0</v>
      </c>
      <c r="BN1709" t="s">
        <v>74</v>
      </c>
    </row>
    <row r="1710" spans="1:66">
      <c r="A1710">
        <v>104093</v>
      </c>
      <c r="B1710" t="s">
        <v>379</v>
      </c>
      <c r="C1710" s="1">
        <v>43300101</v>
      </c>
      <c r="D1710" t="s">
        <v>67</v>
      </c>
      <c r="H1710" t="str">
        <f t="shared" si="219"/>
        <v>12572900152</v>
      </c>
      <c r="I1710" t="str">
        <f t="shared" si="220"/>
        <v>06032681006</v>
      </c>
      <c r="K1710" t="str">
        <f>""</f>
        <v/>
      </c>
      <c r="M1710" t="s">
        <v>68</v>
      </c>
      <c r="N1710" t="str">
        <f t="shared" si="221"/>
        <v>FOR</v>
      </c>
      <c r="O1710" t="s">
        <v>69</v>
      </c>
      <c r="P1710" t="s">
        <v>75</v>
      </c>
      <c r="Q1710">
        <v>2016</v>
      </c>
      <c r="R1710" s="4">
        <v>42444</v>
      </c>
      <c r="S1710" s="2">
        <v>42446</v>
      </c>
      <c r="T1710" s="2">
        <v>42445</v>
      </c>
      <c r="U1710" s="4">
        <v>42505</v>
      </c>
      <c r="V1710" t="s">
        <v>71</v>
      </c>
      <c r="W1710" t="str">
        <f>"            25303115"</f>
        <v xml:space="preserve">            25303115</v>
      </c>
      <c r="X1710">
        <v>74.88</v>
      </c>
      <c r="Y1710">
        <v>0</v>
      </c>
      <c r="Z1710" s="5">
        <v>72</v>
      </c>
      <c r="AA1710" s="3">
        <v>269</v>
      </c>
      <c r="AB1710" s="5">
        <v>19368</v>
      </c>
      <c r="AC1710">
        <v>72</v>
      </c>
      <c r="AD1710">
        <v>269</v>
      </c>
      <c r="AE1710" s="1">
        <v>19368</v>
      </c>
      <c r="AF1710">
        <v>0</v>
      </c>
      <c r="AJ1710">
        <v>0</v>
      </c>
      <c r="AK1710">
        <v>0</v>
      </c>
      <c r="AL1710">
        <v>0</v>
      </c>
      <c r="AM1710">
        <v>0</v>
      </c>
      <c r="AN1710">
        <v>0</v>
      </c>
      <c r="AO1710">
        <v>0</v>
      </c>
      <c r="AP1710" s="2">
        <v>42831</v>
      </c>
      <c r="AQ1710" t="s">
        <v>72</v>
      </c>
      <c r="AR1710" t="s">
        <v>72</v>
      </c>
      <c r="AS1710">
        <v>342</v>
      </c>
      <c r="AT1710" s="4">
        <v>42774</v>
      </c>
      <c r="AU1710" t="s">
        <v>73</v>
      </c>
      <c r="AV1710">
        <v>342</v>
      </c>
      <c r="AW1710" s="4">
        <v>42774</v>
      </c>
      <c r="BD1710">
        <v>0</v>
      </c>
      <c r="BN1710" t="s">
        <v>74</v>
      </c>
    </row>
    <row r="1711" spans="1:66">
      <c r="A1711">
        <v>104093</v>
      </c>
      <c r="B1711" t="s">
        <v>379</v>
      </c>
      <c r="C1711" s="1">
        <v>43300101</v>
      </c>
      <c r="D1711" t="s">
        <v>67</v>
      </c>
      <c r="H1711" t="str">
        <f t="shared" si="219"/>
        <v>12572900152</v>
      </c>
      <c r="I1711" t="str">
        <f t="shared" si="220"/>
        <v>06032681006</v>
      </c>
      <c r="K1711" t="str">
        <f>""</f>
        <v/>
      </c>
      <c r="M1711" t="s">
        <v>68</v>
      </c>
      <c r="N1711" t="str">
        <f t="shared" si="221"/>
        <v>FOR</v>
      </c>
      <c r="O1711" t="s">
        <v>69</v>
      </c>
      <c r="P1711" t="s">
        <v>75</v>
      </c>
      <c r="Q1711">
        <v>2016</v>
      </c>
      <c r="R1711" s="4">
        <v>42444</v>
      </c>
      <c r="S1711" s="2">
        <v>42446</v>
      </c>
      <c r="T1711" s="2">
        <v>42445</v>
      </c>
      <c r="U1711" s="4">
        <v>42505</v>
      </c>
      <c r="V1711" t="s">
        <v>71</v>
      </c>
      <c r="W1711" t="str">
        <f>"            25303116"</f>
        <v xml:space="preserve">            25303116</v>
      </c>
      <c r="X1711">
        <v>252.72</v>
      </c>
      <c r="Y1711">
        <v>0</v>
      </c>
      <c r="Z1711" s="5">
        <v>243</v>
      </c>
      <c r="AA1711" s="3">
        <v>269</v>
      </c>
      <c r="AB1711" s="5">
        <v>65367</v>
      </c>
      <c r="AC1711">
        <v>243</v>
      </c>
      <c r="AD1711">
        <v>269</v>
      </c>
      <c r="AE1711" s="1">
        <v>65367</v>
      </c>
      <c r="AF1711">
        <v>0</v>
      </c>
      <c r="AJ1711">
        <v>0</v>
      </c>
      <c r="AK1711">
        <v>0</v>
      </c>
      <c r="AL1711">
        <v>0</v>
      </c>
      <c r="AM1711">
        <v>0</v>
      </c>
      <c r="AN1711">
        <v>0</v>
      </c>
      <c r="AO1711">
        <v>0</v>
      </c>
      <c r="AP1711" s="2">
        <v>42831</v>
      </c>
      <c r="AQ1711" t="s">
        <v>72</v>
      </c>
      <c r="AR1711" t="s">
        <v>72</v>
      </c>
      <c r="AS1711">
        <v>342</v>
      </c>
      <c r="AT1711" s="4">
        <v>42774</v>
      </c>
      <c r="AU1711" t="s">
        <v>73</v>
      </c>
      <c r="AV1711">
        <v>342</v>
      </c>
      <c r="AW1711" s="4">
        <v>42774</v>
      </c>
      <c r="BD1711">
        <v>0</v>
      </c>
      <c r="BN1711" t="s">
        <v>74</v>
      </c>
    </row>
    <row r="1712" spans="1:66">
      <c r="A1712">
        <v>104093</v>
      </c>
      <c r="B1712" t="s">
        <v>379</v>
      </c>
      <c r="C1712" s="1">
        <v>43300101</v>
      </c>
      <c r="D1712" t="s">
        <v>67</v>
      </c>
      <c r="H1712" t="str">
        <f t="shared" si="219"/>
        <v>12572900152</v>
      </c>
      <c r="I1712" t="str">
        <f t="shared" si="220"/>
        <v>06032681006</v>
      </c>
      <c r="K1712" t="str">
        <f>""</f>
        <v/>
      </c>
      <c r="M1712" t="s">
        <v>68</v>
      </c>
      <c r="N1712" t="str">
        <f t="shared" si="221"/>
        <v>FOR</v>
      </c>
      <c r="O1712" t="s">
        <v>69</v>
      </c>
      <c r="P1712" t="s">
        <v>75</v>
      </c>
      <c r="Q1712">
        <v>2016</v>
      </c>
      <c r="R1712" s="4">
        <v>42444</v>
      </c>
      <c r="S1712" s="2">
        <v>42446</v>
      </c>
      <c r="T1712" s="2">
        <v>42445</v>
      </c>
      <c r="U1712" s="4">
        <v>42505</v>
      </c>
      <c r="V1712" t="s">
        <v>71</v>
      </c>
      <c r="W1712" t="str">
        <f>"            25303117"</f>
        <v xml:space="preserve">            25303117</v>
      </c>
      <c r="X1712">
        <v>707.62</v>
      </c>
      <c r="Y1712">
        <v>0</v>
      </c>
      <c r="Z1712" s="5">
        <v>680.4</v>
      </c>
      <c r="AA1712" s="3">
        <v>269</v>
      </c>
      <c r="AB1712" s="5">
        <v>183027.6</v>
      </c>
      <c r="AC1712">
        <v>680.4</v>
      </c>
      <c r="AD1712">
        <v>269</v>
      </c>
      <c r="AE1712" s="1">
        <v>183027.6</v>
      </c>
      <c r="AF1712">
        <v>0</v>
      </c>
      <c r="AJ1712">
        <v>0</v>
      </c>
      <c r="AK1712">
        <v>0</v>
      </c>
      <c r="AL1712">
        <v>0</v>
      </c>
      <c r="AM1712">
        <v>0</v>
      </c>
      <c r="AN1712">
        <v>0</v>
      </c>
      <c r="AO1712">
        <v>0</v>
      </c>
      <c r="AP1712" s="2">
        <v>42831</v>
      </c>
      <c r="AQ1712" t="s">
        <v>72</v>
      </c>
      <c r="AR1712" t="s">
        <v>72</v>
      </c>
      <c r="AS1712">
        <v>342</v>
      </c>
      <c r="AT1712" s="4">
        <v>42774</v>
      </c>
      <c r="AU1712" t="s">
        <v>73</v>
      </c>
      <c r="AV1712">
        <v>342</v>
      </c>
      <c r="AW1712" s="4">
        <v>42774</v>
      </c>
      <c r="BD1712">
        <v>0</v>
      </c>
      <c r="BN1712" t="s">
        <v>74</v>
      </c>
    </row>
    <row r="1713" spans="1:66">
      <c r="A1713">
        <v>104093</v>
      </c>
      <c r="B1713" t="s">
        <v>379</v>
      </c>
      <c r="C1713" s="1">
        <v>43300101</v>
      </c>
      <c r="D1713" t="s">
        <v>67</v>
      </c>
      <c r="H1713" t="str">
        <f t="shared" si="219"/>
        <v>12572900152</v>
      </c>
      <c r="I1713" t="str">
        <f t="shared" si="220"/>
        <v>06032681006</v>
      </c>
      <c r="K1713" t="str">
        <f>""</f>
        <v/>
      </c>
      <c r="M1713" t="s">
        <v>68</v>
      </c>
      <c r="N1713" t="str">
        <f t="shared" si="221"/>
        <v>FOR</v>
      </c>
      <c r="O1713" t="s">
        <v>69</v>
      </c>
      <c r="P1713" t="s">
        <v>75</v>
      </c>
      <c r="Q1713">
        <v>2016</v>
      </c>
      <c r="R1713" s="4">
        <v>42444</v>
      </c>
      <c r="S1713" s="2">
        <v>42446</v>
      </c>
      <c r="T1713" s="2">
        <v>42445</v>
      </c>
      <c r="U1713" s="4">
        <v>42505</v>
      </c>
      <c r="V1713" t="s">
        <v>71</v>
      </c>
      <c r="W1713" t="str">
        <f>"            25303245"</f>
        <v xml:space="preserve">            25303245</v>
      </c>
      <c r="X1713" s="1">
        <v>1482.3</v>
      </c>
      <c r="Y1713">
        <v>0</v>
      </c>
      <c r="Z1713" s="5">
        <v>1215</v>
      </c>
      <c r="AA1713" s="3">
        <v>269</v>
      </c>
      <c r="AB1713" s="5">
        <v>326835</v>
      </c>
      <c r="AC1713" s="1">
        <v>1215</v>
      </c>
      <c r="AD1713">
        <v>269</v>
      </c>
      <c r="AE1713" s="1">
        <v>326835</v>
      </c>
      <c r="AF1713">
        <v>0</v>
      </c>
      <c r="AJ1713">
        <v>0</v>
      </c>
      <c r="AK1713">
        <v>0</v>
      </c>
      <c r="AL1713">
        <v>0</v>
      </c>
      <c r="AM1713">
        <v>0</v>
      </c>
      <c r="AN1713">
        <v>0</v>
      </c>
      <c r="AO1713">
        <v>0</v>
      </c>
      <c r="AP1713" s="2">
        <v>42831</v>
      </c>
      <c r="AQ1713" t="s">
        <v>72</v>
      </c>
      <c r="AR1713" t="s">
        <v>72</v>
      </c>
      <c r="AS1713">
        <v>342</v>
      </c>
      <c r="AT1713" s="4">
        <v>42774</v>
      </c>
      <c r="AU1713" t="s">
        <v>73</v>
      </c>
      <c r="AV1713">
        <v>342</v>
      </c>
      <c r="AW1713" s="4">
        <v>42774</v>
      </c>
      <c r="BD1713">
        <v>0</v>
      </c>
      <c r="BN1713" t="s">
        <v>74</v>
      </c>
    </row>
    <row r="1714" spans="1:66">
      <c r="A1714">
        <v>104093</v>
      </c>
      <c r="B1714" t="s">
        <v>379</v>
      </c>
      <c r="C1714" s="1">
        <v>43300101</v>
      </c>
      <c r="D1714" t="s">
        <v>67</v>
      </c>
      <c r="H1714" t="str">
        <f t="shared" si="219"/>
        <v>12572900152</v>
      </c>
      <c r="I1714" t="str">
        <f t="shared" si="220"/>
        <v>06032681006</v>
      </c>
      <c r="K1714" t="str">
        <f>""</f>
        <v/>
      </c>
      <c r="M1714" t="s">
        <v>68</v>
      </c>
      <c r="N1714" t="str">
        <f t="shared" si="221"/>
        <v>FOR</v>
      </c>
      <c r="O1714" t="s">
        <v>69</v>
      </c>
      <c r="P1714" t="s">
        <v>75</v>
      </c>
      <c r="Q1714">
        <v>2016</v>
      </c>
      <c r="R1714" s="4">
        <v>42447</v>
      </c>
      <c r="S1714" s="2">
        <v>42452</v>
      </c>
      <c r="T1714" s="2">
        <v>42450</v>
      </c>
      <c r="U1714" s="4">
        <v>42510</v>
      </c>
      <c r="V1714" t="s">
        <v>71</v>
      </c>
      <c r="W1714" t="str">
        <f>"            25303916"</f>
        <v xml:space="preserve">            25303916</v>
      </c>
      <c r="X1714">
        <v>707.62</v>
      </c>
      <c r="Y1714">
        <v>0</v>
      </c>
      <c r="Z1714" s="5">
        <v>680.4</v>
      </c>
      <c r="AA1714" s="3">
        <v>264</v>
      </c>
      <c r="AB1714" s="5">
        <v>179625.60000000001</v>
      </c>
      <c r="AC1714">
        <v>680.4</v>
      </c>
      <c r="AD1714">
        <v>264</v>
      </c>
      <c r="AE1714" s="1">
        <v>179625.60000000001</v>
      </c>
      <c r="AF1714">
        <v>0</v>
      </c>
      <c r="AJ1714">
        <v>0</v>
      </c>
      <c r="AK1714">
        <v>0</v>
      </c>
      <c r="AL1714">
        <v>0</v>
      </c>
      <c r="AM1714">
        <v>0</v>
      </c>
      <c r="AN1714">
        <v>0</v>
      </c>
      <c r="AO1714">
        <v>0</v>
      </c>
      <c r="AP1714" s="2">
        <v>42831</v>
      </c>
      <c r="AQ1714" t="s">
        <v>72</v>
      </c>
      <c r="AR1714" t="s">
        <v>72</v>
      </c>
      <c r="AS1714">
        <v>342</v>
      </c>
      <c r="AT1714" s="4">
        <v>42774</v>
      </c>
      <c r="AU1714" t="s">
        <v>73</v>
      </c>
      <c r="AV1714">
        <v>342</v>
      </c>
      <c r="AW1714" s="4">
        <v>42774</v>
      </c>
      <c r="BD1714">
        <v>0</v>
      </c>
      <c r="BN1714" t="s">
        <v>74</v>
      </c>
    </row>
    <row r="1715" spans="1:66">
      <c r="A1715">
        <v>104093</v>
      </c>
      <c r="B1715" t="s">
        <v>379</v>
      </c>
      <c r="C1715" s="1">
        <v>43300101</v>
      </c>
      <c r="D1715" t="s">
        <v>67</v>
      </c>
      <c r="H1715" t="str">
        <f t="shared" si="219"/>
        <v>12572900152</v>
      </c>
      <c r="I1715" t="str">
        <f t="shared" si="220"/>
        <v>06032681006</v>
      </c>
      <c r="K1715" t="str">
        <f>""</f>
        <v/>
      </c>
      <c r="M1715" t="s">
        <v>68</v>
      </c>
      <c r="N1715" t="str">
        <f t="shared" si="221"/>
        <v>FOR</v>
      </c>
      <c r="O1715" t="s">
        <v>69</v>
      </c>
      <c r="P1715" t="s">
        <v>75</v>
      </c>
      <c r="Q1715">
        <v>2016</v>
      </c>
      <c r="R1715" s="4">
        <v>42447</v>
      </c>
      <c r="S1715" s="2">
        <v>42452</v>
      </c>
      <c r="T1715" s="2">
        <v>42450</v>
      </c>
      <c r="U1715" s="4">
        <v>42510</v>
      </c>
      <c r="V1715" t="s">
        <v>71</v>
      </c>
      <c r="W1715" t="str">
        <f>"            25303917"</f>
        <v xml:space="preserve">            25303917</v>
      </c>
      <c r="X1715">
        <v>252.72</v>
      </c>
      <c r="Y1715">
        <v>0</v>
      </c>
      <c r="Z1715" s="5">
        <v>243</v>
      </c>
      <c r="AA1715" s="3">
        <v>264</v>
      </c>
      <c r="AB1715" s="5">
        <v>64152</v>
      </c>
      <c r="AC1715">
        <v>243</v>
      </c>
      <c r="AD1715">
        <v>264</v>
      </c>
      <c r="AE1715" s="1">
        <v>64152</v>
      </c>
      <c r="AF1715">
        <v>0</v>
      </c>
      <c r="AJ1715">
        <v>0</v>
      </c>
      <c r="AK1715">
        <v>0</v>
      </c>
      <c r="AL1715">
        <v>0</v>
      </c>
      <c r="AM1715">
        <v>0</v>
      </c>
      <c r="AN1715">
        <v>0</v>
      </c>
      <c r="AO1715">
        <v>0</v>
      </c>
      <c r="AP1715" s="2">
        <v>42831</v>
      </c>
      <c r="AQ1715" t="s">
        <v>72</v>
      </c>
      <c r="AR1715" t="s">
        <v>72</v>
      </c>
      <c r="AS1715">
        <v>342</v>
      </c>
      <c r="AT1715" s="4">
        <v>42774</v>
      </c>
      <c r="AU1715" t="s">
        <v>73</v>
      </c>
      <c r="AV1715">
        <v>342</v>
      </c>
      <c r="AW1715" s="4">
        <v>42774</v>
      </c>
      <c r="BD1715">
        <v>0</v>
      </c>
      <c r="BN1715" t="s">
        <v>74</v>
      </c>
    </row>
    <row r="1716" spans="1:66">
      <c r="A1716">
        <v>104093</v>
      </c>
      <c r="B1716" t="s">
        <v>379</v>
      </c>
      <c r="C1716" s="1">
        <v>43300101</v>
      </c>
      <c r="D1716" t="s">
        <v>67</v>
      </c>
      <c r="H1716" t="str">
        <f t="shared" si="219"/>
        <v>12572900152</v>
      </c>
      <c r="I1716" t="str">
        <f t="shared" si="220"/>
        <v>06032681006</v>
      </c>
      <c r="K1716" t="str">
        <f>""</f>
        <v/>
      </c>
      <c r="M1716" t="s">
        <v>68</v>
      </c>
      <c r="N1716" t="str">
        <f t="shared" si="221"/>
        <v>FOR</v>
      </c>
      <c r="O1716" t="s">
        <v>69</v>
      </c>
      <c r="P1716" t="s">
        <v>75</v>
      </c>
      <c r="Q1716">
        <v>2016</v>
      </c>
      <c r="R1716" s="4">
        <v>42447</v>
      </c>
      <c r="S1716" s="2">
        <v>42452</v>
      </c>
      <c r="T1716" s="2">
        <v>42450</v>
      </c>
      <c r="U1716" s="4">
        <v>42510</v>
      </c>
      <c r="V1716" t="s">
        <v>71</v>
      </c>
      <c r="W1716" t="str">
        <f>"            25303918"</f>
        <v xml:space="preserve">            25303918</v>
      </c>
      <c r="X1716">
        <v>74.88</v>
      </c>
      <c r="Y1716">
        <v>0</v>
      </c>
      <c r="Z1716" s="5">
        <v>72</v>
      </c>
      <c r="AA1716" s="3">
        <v>264</v>
      </c>
      <c r="AB1716" s="5">
        <v>19008</v>
      </c>
      <c r="AC1716">
        <v>72</v>
      </c>
      <c r="AD1716">
        <v>264</v>
      </c>
      <c r="AE1716" s="1">
        <v>19008</v>
      </c>
      <c r="AF1716">
        <v>0</v>
      </c>
      <c r="AJ1716">
        <v>0</v>
      </c>
      <c r="AK1716">
        <v>0</v>
      </c>
      <c r="AL1716">
        <v>0</v>
      </c>
      <c r="AM1716">
        <v>0</v>
      </c>
      <c r="AN1716">
        <v>0</v>
      </c>
      <c r="AO1716">
        <v>0</v>
      </c>
      <c r="AP1716" s="2">
        <v>42831</v>
      </c>
      <c r="AQ1716" t="s">
        <v>72</v>
      </c>
      <c r="AR1716" t="s">
        <v>72</v>
      </c>
      <c r="AS1716">
        <v>342</v>
      </c>
      <c r="AT1716" s="4">
        <v>42774</v>
      </c>
      <c r="AU1716" t="s">
        <v>73</v>
      </c>
      <c r="AV1716">
        <v>342</v>
      </c>
      <c r="AW1716" s="4">
        <v>42774</v>
      </c>
      <c r="BD1716">
        <v>0</v>
      </c>
      <c r="BN1716" t="s">
        <v>74</v>
      </c>
    </row>
    <row r="1717" spans="1:66">
      <c r="A1717">
        <v>104093</v>
      </c>
      <c r="B1717" t="s">
        <v>379</v>
      </c>
      <c r="C1717" s="1">
        <v>43300101</v>
      </c>
      <c r="D1717" t="s">
        <v>67</v>
      </c>
      <c r="H1717" t="str">
        <f t="shared" si="219"/>
        <v>12572900152</v>
      </c>
      <c r="I1717" t="str">
        <f t="shared" si="220"/>
        <v>06032681006</v>
      </c>
      <c r="K1717" t="str">
        <f>""</f>
        <v/>
      </c>
      <c r="M1717" t="s">
        <v>68</v>
      </c>
      <c r="N1717" t="str">
        <f t="shared" si="221"/>
        <v>FOR</v>
      </c>
      <c r="O1717" t="s">
        <v>69</v>
      </c>
      <c r="P1717" t="s">
        <v>75</v>
      </c>
      <c r="Q1717">
        <v>2016</v>
      </c>
      <c r="R1717" s="4">
        <v>42458</v>
      </c>
      <c r="S1717" s="2">
        <v>42477</v>
      </c>
      <c r="T1717" s="2">
        <v>42477</v>
      </c>
      <c r="U1717" s="4">
        <v>42537</v>
      </c>
      <c r="V1717" t="s">
        <v>71</v>
      </c>
      <c r="W1717" t="str">
        <f>"            25305623"</f>
        <v xml:space="preserve">            25305623</v>
      </c>
      <c r="X1717">
        <v>252.72</v>
      </c>
      <c r="Y1717">
        <v>0</v>
      </c>
      <c r="Z1717" s="5">
        <v>243</v>
      </c>
      <c r="AA1717" s="3">
        <v>237</v>
      </c>
      <c r="AB1717" s="5">
        <v>57591</v>
      </c>
      <c r="AC1717">
        <v>243</v>
      </c>
      <c r="AD1717">
        <v>237</v>
      </c>
      <c r="AE1717" s="1">
        <v>57591</v>
      </c>
      <c r="AF1717">
        <v>0</v>
      </c>
      <c r="AJ1717">
        <v>0</v>
      </c>
      <c r="AK1717">
        <v>0</v>
      </c>
      <c r="AL1717">
        <v>0</v>
      </c>
      <c r="AM1717">
        <v>0</v>
      </c>
      <c r="AN1717">
        <v>0</v>
      </c>
      <c r="AO1717">
        <v>0</v>
      </c>
      <c r="AP1717" s="2">
        <v>42831</v>
      </c>
      <c r="AQ1717" t="s">
        <v>72</v>
      </c>
      <c r="AR1717" t="s">
        <v>72</v>
      </c>
      <c r="AS1717">
        <v>342</v>
      </c>
      <c r="AT1717" s="4">
        <v>42774</v>
      </c>
      <c r="AU1717" t="s">
        <v>73</v>
      </c>
      <c r="AV1717">
        <v>342</v>
      </c>
      <c r="AW1717" s="4">
        <v>42774</v>
      </c>
      <c r="BD1717">
        <v>0</v>
      </c>
      <c r="BN1717" t="s">
        <v>74</v>
      </c>
    </row>
    <row r="1718" spans="1:66">
      <c r="A1718">
        <v>104093</v>
      </c>
      <c r="B1718" t="s">
        <v>379</v>
      </c>
      <c r="C1718" s="1">
        <v>43300101</v>
      </c>
      <c r="D1718" t="s">
        <v>67</v>
      </c>
      <c r="H1718" t="str">
        <f t="shared" si="219"/>
        <v>12572900152</v>
      </c>
      <c r="I1718" t="str">
        <f t="shared" si="220"/>
        <v>06032681006</v>
      </c>
      <c r="K1718" t="str">
        <f>""</f>
        <v/>
      </c>
      <c r="M1718" t="s">
        <v>68</v>
      </c>
      <c r="N1718" t="str">
        <f t="shared" si="221"/>
        <v>FOR</v>
      </c>
      <c r="O1718" t="s">
        <v>69</v>
      </c>
      <c r="P1718" t="s">
        <v>75</v>
      </c>
      <c r="Q1718">
        <v>2016</v>
      </c>
      <c r="R1718" s="4">
        <v>42458</v>
      </c>
      <c r="S1718" s="2">
        <v>42481</v>
      </c>
      <c r="T1718" s="2">
        <v>42478</v>
      </c>
      <c r="U1718" s="4">
        <v>42538</v>
      </c>
      <c r="V1718" t="s">
        <v>71</v>
      </c>
      <c r="W1718" t="str">
        <f>"            25305625"</f>
        <v xml:space="preserve">            25305625</v>
      </c>
      <c r="X1718">
        <v>74.88</v>
      </c>
      <c r="Y1718">
        <v>0</v>
      </c>
      <c r="Z1718" s="5">
        <v>72</v>
      </c>
      <c r="AA1718" s="3">
        <v>236</v>
      </c>
      <c r="AB1718" s="5">
        <v>16992</v>
      </c>
      <c r="AC1718">
        <v>72</v>
      </c>
      <c r="AD1718">
        <v>236</v>
      </c>
      <c r="AE1718" s="1">
        <v>16992</v>
      </c>
      <c r="AF1718">
        <v>0</v>
      </c>
      <c r="AJ1718">
        <v>0</v>
      </c>
      <c r="AK1718">
        <v>0</v>
      </c>
      <c r="AL1718">
        <v>0</v>
      </c>
      <c r="AM1718">
        <v>0</v>
      </c>
      <c r="AN1718">
        <v>0</v>
      </c>
      <c r="AO1718">
        <v>0</v>
      </c>
      <c r="AP1718" s="2">
        <v>42831</v>
      </c>
      <c r="AQ1718" t="s">
        <v>72</v>
      </c>
      <c r="AR1718" t="s">
        <v>72</v>
      </c>
      <c r="AS1718">
        <v>342</v>
      </c>
      <c r="AT1718" s="4">
        <v>42774</v>
      </c>
      <c r="AU1718" t="s">
        <v>73</v>
      </c>
      <c r="AV1718">
        <v>342</v>
      </c>
      <c r="AW1718" s="4">
        <v>42774</v>
      </c>
      <c r="BD1718">
        <v>0</v>
      </c>
      <c r="BN1718" t="s">
        <v>74</v>
      </c>
    </row>
    <row r="1719" spans="1:66">
      <c r="A1719">
        <v>104093</v>
      </c>
      <c r="B1719" t="s">
        <v>379</v>
      </c>
      <c r="C1719" s="1">
        <v>43300101</v>
      </c>
      <c r="D1719" t="s">
        <v>67</v>
      </c>
      <c r="H1719" t="str">
        <f t="shared" si="219"/>
        <v>12572900152</v>
      </c>
      <c r="I1719" t="str">
        <f t="shared" si="220"/>
        <v>06032681006</v>
      </c>
      <c r="K1719" t="str">
        <f>""</f>
        <v/>
      </c>
      <c r="M1719" t="s">
        <v>68</v>
      </c>
      <c r="N1719" t="str">
        <f t="shared" si="221"/>
        <v>FOR</v>
      </c>
      <c r="O1719" t="s">
        <v>69</v>
      </c>
      <c r="P1719" t="s">
        <v>75</v>
      </c>
      <c r="Q1719">
        <v>2016</v>
      </c>
      <c r="R1719" s="4">
        <v>42458</v>
      </c>
      <c r="S1719" s="2">
        <v>42477</v>
      </c>
      <c r="T1719" s="2">
        <v>42477</v>
      </c>
      <c r="U1719" s="4">
        <v>42537</v>
      </c>
      <c r="V1719" t="s">
        <v>71</v>
      </c>
      <c r="W1719" t="str">
        <f>"            25305628"</f>
        <v xml:space="preserve">            25305628</v>
      </c>
      <c r="X1719">
        <v>707.62</v>
      </c>
      <c r="Y1719">
        <v>0</v>
      </c>
      <c r="Z1719" s="5">
        <v>680.4</v>
      </c>
      <c r="AA1719" s="3">
        <v>237</v>
      </c>
      <c r="AB1719" s="5">
        <v>161254.79999999999</v>
      </c>
      <c r="AC1719">
        <v>680.4</v>
      </c>
      <c r="AD1719">
        <v>237</v>
      </c>
      <c r="AE1719" s="1">
        <v>161254.79999999999</v>
      </c>
      <c r="AF1719">
        <v>0</v>
      </c>
      <c r="AJ1719">
        <v>0</v>
      </c>
      <c r="AK1719">
        <v>0</v>
      </c>
      <c r="AL1719">
        <v>0</v>
      </c>
      <c r="AM1719">
        <v>0</v>
      </c>
      <c r="AN1719">
        <v>0</v>
      </c>
      <c r="AO1719">
        <v>0</v>
      </c>
      <c r="AP1719" s="2">
        <v>42831</v>
      </c>
      <c r="AQ1719" t="s">
        <v>72</v>
      </c>
      <c r="AR1719" t="s">
        <v>72</v>
      </c>
      <c r="AS1719">
        <v>342</v>
      </c>
      <c r="AT1719" s="4">
        <v>42774</v>
      </c>
      <c r="AU1719" t="s">
        <v>73</v>
      </c>
      <c r="AV1719">
        <v>342</v>
      </c>
      <c r="AW1719" s="4">
        <v>42774</v>
      </c>
      <c r="BD1719">
        <v>0</v>
      </c>
      <c r="BN1719" t="s">
        <v>74</v>
      </c>
    </row>
    <row r="1720" spans="1:66">
      <c r="A1720">
        <v>104093</v>
      </c>
      <c r="B1720" t="s">
        <v>379</v>
      </c>
      <c r="C1720" s="1">
        <v>43300101</v>
      </c>
      <c r="D1720" t="s">
        <v>67</v>
      </c>
      <c r="H1720" t="str">
        <f t="shared" si="219"/>
        <v>12572900152</v>
      </c>
      <c r="I1720" t="str">
        <f t="shared" si="220"/>
        <v>06032681006</v>
      </c>
      <c r="K1720" t="str">
        <f>""</f>
        <v/>
      </c>
      <c r="M1720" t="s">
        <v>68</v>
      </c>
      <c r="N1720" t="str">
        <f t="shared" si="221"/>
        <v>FOR</v>
      </c>
      <c r="O1720" t="s">
        <v>69</v>
      </c>
      <c r="P1720" t="s">
        <v>75</v>
      </c>
      <c r="Q1720">
        <v>2016</v>
      </c>
      <c r="R1720" s="4">
        <v>42458</v>
      </c>
      <c r="S1720" s="2">
        <v>42477</v>
      </c>
      <c r="T1720" s="2">
        <v>42477</v>
      </c>
      <c r="U1720" s="4">
        <v>42537</v>
      </c>
      <c r="V1720" t="s">
        <v>71</v>
      </c>
      <c r="W1720" t="str">
        <f>"            25305720"</f>
        <v xml:space="preserve">            25305720</v>
      </c>
      <c r="X1720" s="1">
        <v>5133.1499999999996</v>
      </c>
      <c r="Y1720">
        <v>0</v>
      </c>
      <c r="Z1720" s="5">
        <v>4207.5</v>
      </c>
      <c r="AA1720" s="3">
        <v>237</v>
      </c>
      <c r="AB1720" s="5">
        <v>997177.5</v>
      </c>
      <c r="AC1720" s="1">
        <v>4207.5</v>
      </c>
      <c r="AD1720">
        <v>237</v>
      </c>
      <c r="AE1720" s="1">
        <v>997177.5</v>
      </c>
      <c r="AF1720">
        <v>0</v>
      </c>
      <c r="AJ1720">
        <v>0</v>
      </c>
      <c r="AK1720">
        <v>0</v>
      </c>
      <c r="AL1720">
        <v>0</v>
      </c>
      <c r="AM1720">
        <v>0</v>
      </c>
      <c r="AN1720">
        <v>0</v>
      </c>
      <c r="AO1720">
        <v>0</v>
      </c>
      <c r="AP1720" s="2">
        <v>42831</v>
      </c>
      <c r="AQ1720" t="s">
        <v>72</v>
      </c>
      <c r="AR1720" t="s">
        <v>72</v>
      </c>
      <c r="AS1720">
        <v>342</v>
      </c>
      <c r="AT1720" s="4">
        <v>42774</v>
      </c>
      <c r="AU1720" t="s">
        <v>73</v>
      </c>
      <c r="AV1720">
        <v>342</v>
      </c>
      <c r="AW1720" s="4">
        <v>42774</v>
      </c>
      <c r="BD1720">
        <v>0</v>
      </c>
      <c r="BN1720" t="s">
        <v>74</v>
      </c>
    </row>
    <row r="1721" spans="1:66">
      <c r="A1721">
        <v>104093</v>
      </c>
      <c r="B1721" t="s">
        <v>379</v>
      </c>
      <c r="C1721" s="1">
        <v>43300101</v>
      </c>
      <c r="D1721" t="s">
        <v>67</v>
      </c>
      <c r="H1721" t="str">
        <f t="shared" si="219"/>
        <v>12572900152</v>
      </c>
      <c r="I1721" t="str">
        <f t="shared" si="220"/>
        <v>06032681006</v>
      </c>
      <c r="K1721" t="str">
        <f>""</f>
        <v/>
      </c>
      <c r="M1721" t="s">
        <v>68</v>
      </c>
      <c r="N1721" t="str">
        <f t="shared" si="221"/>
        <v>FOR</v>
      </c>
      <c r="O1721" t="s">
        <v>69</v>
      </c>
      <c r="P1721" t="s">
        <v>75</v>
      </c>
      <c r="Q1721">
        <v>2016</v>
      </c>
      <c r="R1721" s="4">
        <v>42459</v>
      </c>
      <c r="S1721" s="2">
        <v>42477</v>
      </c>
      <c r="T1721" s="2">
        <v>42477</v>
      </c>
      <c r="U1721" s="4">
        <v>42537</v>
      </c>
      <c r="V1721" t="s">
        <v>71</v>
      </c>
      <c r="W1721" t="str">
        <f>"            25306113"</f>
        <v xml:space="preserve">            25306113</v>
      </c>
      <c r="X1721">
        <v>74.88</v>
      </c>
      <c r="Y1721">
        <v>0</v>
      </c>
      <c r="Z1721" s="5">
        <v>72</v>
      </c>
      <c r="AA1721" s="3">
        <v>237</v>
      </c>
      <c r="AB1721" s="5">
        <v>17064</v>
      </c>
      <c r="AC1721">
        <v>72</v>
      </c>
      <c r="AD1721">
        <v>237</v>
      </c>
      <c r="AE1721" s="1">
        <v>17064</v>
      </c>
      <c r="AF1721">
        <v>0</v>
      </c>
      <c r="AJ1721">
        <v>0</v>
      </c>
      <c r="AK1721">
        <v>0</v>
      </c>
      <c r="AL1721">
        <v>0</v>
      </c>
      <c r="AM1721">
        <v>0</v>
      </c>
      <c r="AN1721">
        <v>0</v>
      </c>
      <c r="AO1721">
        <v>0</v>
      </c>
      <c r="AP1721" s="2">
        <v>42831</v>
      </c>
      <c r="AQ1721" t="s">
        <v>72</v>
      </c>
      <c r="AR1721" t="s">
        <v>72</v>
      </c>
      <c r="AS1721">
        <v>342</v>
      </c>
      <c r="AT1721" s="4">
        <v>42774</v>
      </c>
      <c r="AU1721" t="s">
        <v>73</v>
      </c>
      <c r="AV1721">
        <v>342</v>
      </c>
      <c r="AW1721" s="4">
        <v>42774</v>
      </c>
      <c r="BD1721">
        <v>0</v>
      </c>
      <c r="BN1721" t="s">
        <v>74</v>
      </c>
    </row>
    <row r="1722" spans="1:66">
      <c r="A1722">
        <v>104093</v>
      </c>
      <c r="B1722" t="s">
        <v>379</v>
      </c>
      <c r="C1722" s="1">
        <v>43300101</v>
      </c>
      <c r="D1722" t="s">
        <v>67</v>
      </c>
      <c r="H1722" t="str">
        <f t="shared" si="219"/>
        <v>12572900152</v>
      </c>
      <c r="I1722" t="str">
        <f t="shared" si="220"/>
        <v>06032681006</v>
      </c>
      <c r="K1722" t="str">
        <f>""</f>
        <v/>
      </c>
      <c r="M1722" t="s">
        <v>68</v>
      </c>
      <c r="N1722" t="str">
        <f t="shared" si="221"/>
        <v>FOR</v>
      </c>
      <c r="O1722" t="s">
        <v>69</v>
      </c>
      <c r="P1722" t="s">
        <v>75</v>
      </c>
      <c r="Q1722">
        <v>2016</v>
      </c>
      <c r="R1722" s="4">
        <v>42459</v>
      </c>
      <c r="S1722" s="2">
        <v>42477</v>
      </c>
      <c r="T1722" s="2">
        <v>42477</v>
      </c>
      <c r="U1722" s="4">
        <v>42537</v>
      </c>
      <c r="V1722" t="s">
        <v>71</v>
      </c>
      <c r="W1722" t="str">
        <f>"            25306213"</f>
        <v xml:space="preserve">            25306213</v>
      </c>
      <c r="X1722" s="1">
        <v>4051.62</v>
      </c>
      <c r="Y1722">
        <v>0</v>
      </c>
      <c r="Z1722" s="5">
        <v>3321</v>
      </c>
      <c r="AA1722" s="3">
        <v>237</v>
      </c>
      <c r="AB1722" s="5">
        <v>787077</v>
      </c>
      <c r="AC1722" s="1">
        <v>3321</v>
      </c>
      <c r="AD1722">
        <v>237</v>
      </c>
      <c r="AE1722" s="1">
        <v>787077</v>
      </c>
      <c r="AF1722">
        <v>0</v>
      </c>
      <c r="AJ1722">
        <v>0</v>
      </c>
      <c r="AK1722">
        <v>0</v>
      </c>
      <c r="AL1722">
        <v>0</v>
      </c>
      <c r="AM1722">
        <v>0</v>
      </c>
      <c r="AN1722">
        <v>0</v>
      </c>
      <c r="AO1722">
        <v>0</v>
      </c>
      <c r="AP1722" s="2">
        <v>42831</v>
      </c>
      <c r="AQ1722" t="s">
        <v>72</v>
      </c>
      <c r="AR1722" t="s">
        <v>72</v>
      </c>
      <c r="AS1722">
        <v>342</v>
      </c>
      <c r="AT1722" s="4">
        <v>42774</v>
      </c>
      <c r="AU1722" t="s">
        <v>73</v>
      </c>
      <c r="AV1722">
        <v>342</v>
      </c>
      <c r="AW1722" s="4">
        <v>42774</v>
      </c>
      <c r="BD1722">
        <v>0</v>
      </c>
      <c r="BN1722" t="s">
        <v>74</v>
      </c>
    </row>
    <row r="1723" spans="1:66">
      <c r="A1723">
        <v>104093</v>
      </c>
      <c r="B1723" t="s">
        <v>379</v>
      </c>
      <c r="C1723" s="1">
        <v>43300101</v>
      </c>
      <c r="D1723" t="s">
        <v>67</v>
      </c>
      <c r="H1723" t="str">
        <f t="shared" ref="H1723:H1754" si="222">"12572900152"</f>
        <v>12572900152</v>
      </c>
      <c r="I1723" t="str">
        <f t="shared" ref="I1723:I1754" si="223">"06032681006"</f>
        <v>06032681006</v>
      </c>
      <c r="K1723" t="str">
        <f>""</f>
        <v/>
      </c>
      <c r="M1723" t="s">
        <v>68</v>
      </c>
      <c r="N1723" t="str">
        <f t="shared" si="221"/>
        <v>FOR</v>
      </c>
      <c r="O1723" t="s">
        <v>69</v>
      </c>
      <c r="P1723" t="s">
        <v>75</v>
      </c>
      <c r="Q1723">
        <v>2016</v>
      </c>
      <c r="R1723" s="4">
        <v>42459</v>
      </c>
      <c r="S1723" s="2">
        <v>42477</v>
      </c>
      <c r="T1723" s="2">
        <v>42477</v>
      </c>
      <c r="U1723" s="4">
        <v>42537</v>
      </c>
      <c r="V1723" t="s">
        <v>71</v>
      </c>
      <c r="W1723" t="str">
        <f>"            25306438"</f>
        <v xml:space="preserve">            25306438</v>
      </c>
      <c r="X1723">
        <v>74.88</v>
      </c>
      <c r="Y1723">
        <v>0</v>
      </c>
      <c r="Z1723" s="5">
        <v>72</v>
      </c>
      <c r="AA1723" s="3">
        <v>237</v>
      </c>
      <c r="AB1723" s="5">
        <v>17064</v>
      </c>
      <c r="AC1723">
        <v>72</v>
      </c>
      <c r="AD1723">
        <v>237</v>
      </c>
      <c r="AE1723" s="1">
        <v>17064</v>
      </c>
      <c r="AF1723">
        <v>0</v>
      </c>
      <c r="AJ1723">
        <v>0</v>
      </c>
      <c r="AK1723">
        <v>0</v>
      </c>
      <c r="AL1723">
        <v>0</v>
      </c>
      <c r="AM1723">
        <v>0</v>
      </c>
      <c r="AN1723">
        <v>0</v>
      </c>
      <c r="AO1723">
        <v>0</v>
      </c>
      <c r="AP1723" s="2">
        <v>42831</v>
      </c>
      <c r="AQ1723" t="s">
        <v>72</v>
      </c>
      <c r="AR1723" t="s">
        <v>72</v>
      </c>
      <c r="AS1723">
        <v>342</v>
      </c>
      <c r="AT1723" s="4">
        <v>42774</v>
      </c>
      <c r="AU1723" t="s">
        <v>73</v>
      </c>
      <c r="AV1723">
        <v>342</v>
      </c>
      <c r="AW1723" s="4">
        <v>42774</v>
      </c>
      <c r="BD1723">
        <v>0</v>
      </c>
      <c r="BN1723" t="s">
        <v>74</v>
      </c>
    </row>
    <row r="1724" spans="1:66">
      <c r="A1724">
        <v>104093</v>
      </c>
      <c r="B1724" t="s">
        <v>379</v>
      </c>
      <c r="C1724" s="1">
        <v>43300101</v>
      </c>
      <c r="D1724" t="s">
        <v>67</v>
      </c>
      <c r="H1724" t="str">
        <f t="shared" si="222"/>
        <v>12572900152</v>
      </c>
      <c r="I1724" t="str">
        <f t="shared" si="223"/>
        <v>06032681006</v>
      </c>
      <c r="K1724" t="str">
        <f>""</f>
        <v/>
      </c>
      <c r="M1724" t="s">
        <v>68</v>
      </c>
      <c r="N1724" t="str">
        <f t="shared" si="221"/>
        <v>FOR</v>
      </c>
      <c r="O1724" t="s">
        <v>69</v>
      </c>
      <c r="P1724" t="s">
        <v>75</v>
      </c>
      <c r="Q1724">
        <v>2016</v>
      </c>
      <c r="R1724" s="4">
        <v>42459</v>
      </c>
      <c r="S1724" s="2">
        <v>42477</v>
      </c>
      <c r="T1724" s="2">
        <v>42477</v>
      </c>
      <c r="U1724" s="4">
        <v>42537</v>
      </c>
      <c r="V1724" t="s">
        <v>71</v>
      </c>
      <c r="W1724" t="str">
        <f>"            25306441"</f>
        <v xml:space="preserve">            25306441</v>
      </c>
      <c r="X1724">
        <v>74.88</v>
      </c>
      <c r="Y1724">
        <v>0</v>
      </c>
      <c r="Z1724" s="5">
        <v>72</v>
      </c>
      <c r="AA1724" s="3">
        <v>237</v>
      </c>
      <c r="AB1724" s="5">
        <v>17064</v>
      </c>
      <c r="AC1724">
        <v>72</v>
      </c>
      <c r="AD1724">
        <v>237</v>
      </c>
      <c r="AE1724" s="1">
        <v>17064</v>
      </c>
      <c r="AF1724">
        <v>0</v>
      </c>
      <c r="AJ1724">
        <v>0</v>
      </c>
      <c r="AK1724">
        <v>0</v>
      </c>
      <c r="AL1724">
        <v>0</v>
      </c>
      <c r="AM1724">
        <v>0</v>
      </c>
      <c r="AN1724">
        <v>0</v>
      </c>
      <c r="AO1724">
        <v>0</v>
      </c>
      <c r="AP1724" s="2">
        <v>42831</v>
      </c>
      <c r="AQ1724" t="s">
        <v>72</v>
      </c>
      <c r="AR1724" t="s">
        <v>72</v>
      </c>
      <c r="AS1724">
        <v>342</v>
      </c>
      <c r="AT1724" s="4">
        <v>42774</v>
      </c>
      <c r="AU1724" t="s">
        <v>73</v>
      </c>
      <c r="AV1724">
        <v>342</v>
      </c>
      <c r="AW1724" s="4">
        <v>42774</v>
      </c>
      <c r="BD1724">
        <v>0</v>
      </c>
      <c r="BN1724" t="s">
        <v>74</v>
      </c>
    </row>
    <row r="1725" spans="1:66">
      <c r="A1725">
        <v>104093</v>
      </c>
      <c r="B1725" t="s">
        <v>379</v>
      </c>
      <c r="C1725" s="1">
        <v>43300101</v>
      </c>
      <c r="D1725" t="s">
        <v>67</v>
      </c>
      <c r="H1725" t="str">
        <f t="shared" si="222"/>
        <v>12572900152</v>
      </c>
      <c r="I1725" t="str">
        <f t="shared" si="223"/>
        <v>06032681006</v>
      </c>
      <c r="K1725" t="str">
        <f>""</f>
        <v/>
      </c>
      <c r="M1725" t="s">
        <v>68</v>
      </c>
      <c r="N1725" t="str">
        <f t="shared" si="221"/>
        <v>FOR</v>
      </c>
      <c r="O1725" t="s">
        <v>69</v>
      </c>
      <c r="P1725" t="s">
        <v>75</v>
      </c>
      <c r="Q1725">
        <v>2016</v>
      </c>
      <c r="R1725" s="4">
        <v>42459</v>
      </c>
      <c r="S1725" s="2">
        <v>42477</v>
      </c>
      <c r="T1725" s="2">
        <v>42477</v>
      </c>
      <c r="U1725" s="4">
        <v>42537</v>
      </c>
      <c r="V1725" t="s">
        <v>71</v>
      </c>
      <c r="W1725" t="str">
        <f>"            25306444"</f>
        <v xml:space="preserve">            25306444</v>
      </c>
      <c r="X1725">
        <v>936</v>
      </c>
      <c r="Y1725">
        <v>0</v>
      </c>
      <c r="Z1725" s="5">
        <v>900</v>
      </c>
      <c r="AA1725" s="3">
        <v>237</v>
      </c>
      <c r="AB1725" s="5">
        <v>213300</v>
      </c>
      <c r="AC1725">
        <v>900</v>
      </c>
      <c r="AD1725">
        <v>237</v>
      </c>
      <c r="AE1725" s="1">
        <v>213300</v>
      </c>
      <c r="AF1725">
        <v>0</v>
      </c>
      <c r="AJ1725">
        <v>0</v>
      </c>
      <c r="AK1725">
        <v>0</v>
      </c>
      <c r="AL1725">
        <v>0</v>
      </c>
      <c r="AM1725">
        <v>0</v>
      </c>
      <c r="AN1725">
        <v>0</v>
      </c>
      <c r="AO1725">
        <v>0</v>
      </c>
      <c r="AP1725" s="2">
        <v>42831</v>
      </c>
      <c r="AQ1725" t="s">
        <v>72</v>
      </c>
      <c r="AR1725" t="s">
        <v>72</v>
      </c>
      <c r="AS1725">
        <v>342</v>
      </c>
      <c r="AT1725" s="4">
        <v>42774</v>
      </c>
      <c r="AU1725" t="s">
        <v>73</v>
      </c>
      <c r="AV1725">
        <v>342</v>
      </c>
      <c r="AW1725" s="4">
        <v>42774</v>
      </c>
      <c r="BD1725">
        <v>0</v>
      </c>
      <c r="BN1725" t="s">
        <v>74</v>
      </c>
    </row>
    <row r="1726" spans="1:66">
      <c r="A1726">
        <v>104093</v>
      </c>
      <c r="B1726" t="s">
        <v>379</v>
      </c>
      <c r="C1726" s="1">
        <v>43300101</v>
      </c>
      <c r="D1726" t="s">
        <v>67</v>
      </c>
      <c r="H1726" t="str">
        <f t="shared" si="222"/>
        <v>12572900152</v>
      </c>
      <c r="I1726" t="str">
        <f t="shared" si="223"/>
        <v>06032681006</v>
      </c>
      <c r="K1726" t="str">
        <f>""</f>
        <v/>
      </c>
      <c r="M1726" t="s">
        <v>68</v>
      </c>
      <c r="N1726" t="str">
        <f t="shared" si="221"/>
        <v>FOR</v>
      </c>
      <c r="O1726" t="s">
        <v>69</v>
      </c>
      <c r="P1726" t="s">
        <v>75</v>
      </c>
      <c r="Q1726">
        <v>2016</v>
      </c>
      <c r="R1726" s="4">
        <v>42459</v>
      </c>
      <c r="S1726" s="2">
        <v>42477</v>
      </c>
      <c r="T1726" s="2">
        <v>42477</v>
      </c>
      <c r="U1726" s="4">
        <v>42537</v>
      </c>
      <c r="V1726" t="s">
        <v>71</v>
      </c>
      <c r="W1726" t="str">
        <f>"            25306456"</f>
        <v xml:space="preserve">            25306456</v>
      </c>
      <c r="X1726">
        <v>74.88</v>
      </c>
      <c r="Y1726">
        <v>0</v>
      </c>
      <c r="Z1726" s="5">
        <v>72</v>
      </c>
      <c r="AA1726" s="3">
        <v>237</v>
      </c>
      <c r="AB1726" s="5">
        <v>17064</v>
      </c>
      <c r="AC1726">
        <v>72</v>
      </c>
      <c r="AD1726">
        <v>237</v>
      </c>
      <c r="AE1726" s="1">
        <v>17064</v>
      </c>
      <c r="AF1726">
        <v>0</v>
      </c>
      <c r="AJ1726">
        <v>0</v>
      </c>
      <c r="AK1726">
        <v>0</v>
      </c>
      <c r="AL1726">
        <v>0</v>
      </c>
      <c r="AM1726">
        <v>0</v>
      </c>
      <c r="AN1726">
        <v>0</v>
      </c>
      <c r="AO1726">
        <v>0</v>
      </c>
      <c r="AP1726" s="2">
        <v>42831</v>
      </c>
      <c r="AQ1726" t="s">
        <v>72</v>
      </c>
      <c r="AR1726" t="s">
        <v>72</v>
      </c>
      <c r="AS1726">
        <v>342</v>
      </c>
      <c r="AT1726" s="4">
        <v>42774</v>
      </c>
      <c r="AU1726" t="s">
        <v>73</v>
      </c>
      <c r="AV1726">
        <v>342</v>
      </c>
      <c r="AW1726" s="4">
        <v>42774</v>
      </c>
      <c r="BD1726">
        <v>0</v>
      </c>
      <c r="BN1726" t="s">
        <v>74</v>
      </c>
    </row>
    <row r="1727" spans="1:66">
      <c r="A1727">
        <v>104093</v>
      </c>
      <c r="B1727" t="s">
        <v>379</v>
      </c>
      <c r="C1727" s="1">
        <v>43300101</v>
      </c>
      <c r="D1727" t="s">
        <v>67</v>
      </c>
      <c r="H1727" t="str">
        <f t="shared" si="222"/>
        <v>12572900152</v>
      </c>
      <c r="I1727" t="str">
        <f t="shared" si="223"/>
        <v>06032681006</v>
      </c>
      <c r="K1727" t="str">
        <f>""</f>
        <v/>
      </c>
      <c r="M1727" t="s">
        <v>68</v>
      </c>
      <c r="N1727" t="str">
        <f t="shared" si="221"/>
        <v>FOR</v>
      </c>
      <c r="O1727" t="s">
        <v>69</v>
      </c>
      <c r="P1727" t="s">
        <v>75</v>
      </c>
      <c r="Q1727">
        <v>2016</v>
      </c>
      <c r="R1727" s="4">
        <v>42459</v>
      </c>
      <c r="S1727" s="2">
        <v>42477</v>
      </c>
      <c r="T1727" s="2">
        <v>42477</v>
      </c>
      <c r="U1727" s="4">
        <v>42537</v>
      </c>
      <c r="V1727" t="s">
        <v>71</v>
      </c>
      <c r="W1727" t="str">
        <f>"            25306458"</f>
        <v xml:space="preserve">            25306458</v>
      </c>
      <c r="X1727">
        <v>252.72</v>
      </c>
      <c r="Y1727">
        <v>0</v>
      </c>
      <c r="Z1727" s="5">
        <v>243</v>
      </c>
      <c r="AA1727" s="3">
        <v>237</v>
      </c>
      <c r="AB1727" s="5">
        <v>57591</v>
      </c>
      <c r="AC1727">
        <v>243</v>
      </c>
      <c r="AD1727">
        <v>237</v>
      </c>
      <c r="AE1727" s="1">
        <v>57591</v>
      </c>
      <c r="AF1727">
        <v>0</v>
      </c>
      <c r="AJ1727">
        <v>0</v>
      </c>
      <c r="AK1727">
        <v>0</v>
      </c>
      <c r="AL1727">
        <v>0</v>
      </c>
      <c r="AM1727">
        <v>0</v>
      </c>
      <c r="AN1727">
        <v>0</v>
      </c>
      <c r="AO1727">
        <v>0</v>
      </c>
      <c r="AP1727" s="2">
        <v>42831</v>
      </c>
      <c r="AQ1727" t="s">
        <v>72</v>
      </c>
      <c r="AR1727" t="s">
        <v>72</v>
      </c>
      <c r="AS1727">
        <v>342</v>
      </c>
      <c r="AT1727" s="4">
        <v>42774</v>
      </c>
      <c r="AU1727" t="s">
        <v>73</v>
      </c>
      <c r="AV1727">
        <v>342</v>
      </c>
      <c r="AW1727" s="4">
        <v>42774</v>
      </c>
      <c r="BD1727">
        <v>0</v>
      </c>
      <c r="BN1727" t="s">
        <v>74</v>
      </c>
    </row>
    <row r="1728" spans="1:66">
      <c r="A1728">
        <v>104093</v>
      </c>
      <c r="B1728" t="s">
        <v>379</v>
      </c>
      <c r="C1728" s="1">
        <v>43300101</v>
      </c>
      <c r="D1728" t="s">
        <v>67</v>
      </c>
      <c r="H1728" t="str">
        <f t="shared" si="222"/>
        <v>12572900152</v>
      </c>
      <c r="I1728" t="str">
        <f t="shared" si="223"/>
        <v>06032681006</v>
      </c>
      <c r="K1728" t="str">
        <f>""</f>
        <v/>
      </c>
      <c r="M1728" t="s">
        <v>68</v>
      </c>
      <c r="N1728" t="str">
        <f t="shared" si="221"/>
        <v>FOR</v>
      </c>
      <c r="O1728" t="s">
        <v>69</v>
      </c>
      <c r="P1728" t="s">
        <v>75</v>
      </c>
      <c r="Q1728">
        <v>2016</v>
      </c>
      <c r="R1728" s="4">
        <v>42459</v>
      </c>
      <c r="S1728" s="2">
        <v>42477</v>
      </c>
      <c r="T1728" s="2">
        <v>42477</v>
      </c>
      <c r="U1728" s="4">
        <v>42537</v>
      </c>
      <c r="V1728" t="s">
        <v>71</v>
      </c>
      <c r="W1728" t="str">
        <f>"            25306459"</f>
        <v xml:space="preserve">            25306459</v>
      </c>
      <c r="X1728">
        <v>74.88</v>
      </c>
      <c r="Y1728">
        <v>0</v>
      </c>
      <c r="Z1728" s="5">
        <v>72</v>
      </c>
      <c r="AA1728" s="3">
        <v>237</v>
      </c>
      <c r="AB1728" s="5">
        <v>17064</v>
      </c>
      <c r="AC1728">
        <v>72</v>
      </c>
      <c r="AD1728">
        <v>237</v>
      </c>
      <c r="AE1728" s="1">
        <v>17064</v>
      </c>
      <c r="AF1728">
        <v>0</v>
      </c>
      <c r="AJ1728">
        <v>0</v>
      </c>
      <c r="AK1728">
        <v>0</v>
      </c>
      <c r="AL1728">
        <v>0</v>
      </c>
      <c r="AM1728">
        <v>0</v>
      </c>
      <c r="AN1728">
        <v>0</v>
      </c>
      <c r="AO1728">
        <v>0</v>
      </c>
      <c r="AP1728" s="2">
        <v>42831</v>
      </c>
      <c r="AQ1728" t="s">
        <v>72</v>
      </c>
      <c r="AR1728" t="s">
        <v>72</v>
      </c>
      <c r="AS1728">
        <v>342</v>
      </c>
      <c r="AT1728" s="4">
        <v>42774</v>
      </c>
      <c r="AU1728" t="s">
        <v>73</v>
      </c>
      <c r="AV1728">
        <v>342</v>
      </c>
      <c r="AW1728" s="4">
        <v>42774</v>
      </c>
      <c r="BD1728">
        <v>0</v>
      </c>
      <c r="BN1728" t="s">
        <v>74</v>
      </c>
    </row>
    <row r="1729" spans="1:66">
      <c r="A1729">
        <v>104093</v>
      </c>
      <c r="B1729" t="s">
        <v>379</v>
      </c>
      <c r="C1729" s="1">
        <v>43300101</v>
      </c>
      <c r="D1729" t="s">
        <v>67</v>
      </c>
      <c r="H1729" t="str">
        <f t="shared" si="222"/>
        <v>12572900152</v>
      </c>
      <c r="I1729" t="str">
        <f t="shared" si="223"/>
        <v>06032681006</v>
      </c>
      <c r="K1729" t="str">
        <f>""</f>
        <v/>
      </c>
      <c r="M1729" t="s">
        <v>68</v>
      </c>
      <c r="N1729" t="str">
        <f t="shared" si="221"/>
        <v>FOR</v>
      </c>
      <c r="O1729" t="s">
        <v>69</v>
      </c>
      <c r="P1729" t="s">
        <v>75</v>
      </c>
      <c r="Q1729">
        <v>2016</v>
      </c>
      <c r="R1729" s="4">
        <v>42459</v>
      </c>
      <c r="S1729" s="2">
        <v>42477</v>
      </c>
      <c r="T1729" s="2">
        <v>42477</v>
      </c>
      <c r="U1729" s="4">
        <v>42537</v>
      </c>
      <c r="V1729" t="s">
        <v>71</v>
      </c>
      <c r="W1729" t="str">
        <f>"            25306460"</f>
        <v xml:space="preserve">            25306460</v>
      </c>
      <c r="X1729">
        <v>707.62</v>
      </c>
      <c r="Y1729">
        <v>0</v>
      </c>
      <c r="Z1729" s="5">
        <v>680.4</v>
      </c>
      <c r="AA1729" s="3">
        <v>237</v>
      </c>
      <c r="AB1729" s="5">
        <v>161254.79999999999</v>
      </c>
      <c r="AC1729">
        <v>680.4</v>
      </c>
      <c r="AD1729">
        <v>237</v>
      </c>
      <c r="AE1729" s="1">
        <v>161254.79999999999</v>
      </c>
      <c r="AF1729">
        <v>0</v>
      </c>
      <c r="AJ1729">
        <v>0</v>
      </c>
      <c r="AK1729">
        <v>0</v>
      </c>
      <c r="AL1729">
        <v>0</v>
      </c>
      <c r="AM1729">
        <v>0</v>
      </c>
      <c r="AN1729">
        <v>0</v>
      </c>
      <c r="AO1729">
        <v>0</v>
      </c>
      <c r="AP1729" s="2">
        <v>42831</v>
      </c>
      <c r="AQ1729" t="s">
        <v>72</v>
      </c>
      <c r="AR1729" t="s">
        <v>72</v>
      </c>
      <c r="AS1729">
        <v>342</v>
      </c>
      <c r="AT1729" s="4">
        <v>42774</v>
      </c>
      <c r="AU1729" t="s">
        <v>73</v>
      </c>
      <c r="AV1729">
        <v>342</v>
      </c>
      <c r="AW1729" s="4">
        <v>42774</v>
      </c>
      <c r="BD1729">
        <v>0</v>
      </c>
      <c r="BN1729" t="s">
        <v>74</v>
      </c>
    </row>
    <row r="1730" spans="1:66">
      <c r="A1730">
        <v>104093</v>
      </c>
      <c r="B1730" t="s">
        <v>379</v>
      </c>
      <c r="C1730" s="1">
        <v>43300101</v>
      </c>
      <c r="D1730" t="s">
        <v>67</v>
      </c>
      <c r="H1730" t="str">
        <f t="shared" si="222"/>
        <v>12572900152</v>
      </c>
      <c r="I1730" t="str">
        <f t="shared" si="223"/>
        <v>06032681006</v>
      </c>
      <c r="K1730" t="str">
        <f>""</f>
        <v/>
      </c>
      <c r="M1730" t="s">
        <v>68</v>
      </c>
      <c r="N1730" t="str">
        <f t="shared" si="221"/>
        <v>FOR</v>
      </c>
      <c r="O1730" t="s">
        <v>69</v>
      </c>
      <c r="P1730" t="s">
        <v>75</v>
      </c>
      <c r="Q1730">
        <v>2016</v>
      </c>
      <c r="R1730" s="4">
        <v>42459</v>
      </c>
      <c r="S1730" s="2">
        <v>42477</v>
      </c>
      <c r="T1730" s="2">
        <v>42477</v>
      </c>
      <c r="U1730" s="4">
        <v>42537</v>
      </c>
      <c r="V1730" t="s">
        <v>71</v>
      </c>
      <c r="W1730" t="str">
        <f>"            25306465"</f>
        <v xml:space="preserve">            25306465</v>
      </c>
      <c r="X1730">
        <v>74.88</v>
      </c>
      <c r="Y1730">
        <v>0</v>
      </c>
      <c r="Z1730" s="5">
        <v>72</v>
      </c>
      <c r="AA1730" s="3">
        <v>237</v>
      </c>
      <c r="AB1730" s="5">
        <v>17064</v>
      </c>
      <c r="AC1730">
        <v>72</v>
      </c>
      <c r="AD1730">
        <v>237</v>
      </c>
      <c r="AE1730" s="1">
        <v>17064</v>
      </c>
      <c r="AF1730">
        <v>0</v>
      </c>
      <c r="AJ1730">
        <v>0</v>
      </c>
      <c r="AK1730">
        <v>0</v>
      </c>
      <c r="AL1730">
        <v>0</v>
      </c>
      <c r="AM1730">
        <v>0</v>
      </c>
      <c r="AN1730">
        <v>0</v>
      </c>
      <c r="AO1730">
        <v>0</v>
      </c>
      <c r="AP1730" s="2">
        <v>42831</v>
      </c>
      <c r="AQ1730" t="s">
        <v>72</v>
      </c>
      <c r="AR1730" t="s">
        <v>72</v>
      </c>
      <c r="AS1730">
        <v>342</v>
      </c>
      <c r="AT1730" s="4">
        <v>42774</v>
      </c>
      <c r="AU1730" t="s">
        <v>73</v>
      </c>
      <c r="AV1730">
        <v>342</v>
      </c>
      <c r="AW1730" s="4">
        <v>42774</v>
      </c>
      <c r="BD1730">
        <v>0</v>
      </c>
      <c r="BN1730" t="s">
        <v>74</v>
      </c>
    </row>
    <row r="1731" spans="1:66">
      <c r="A1731">
        <v>104093</v>
      </c>
      <c r="B1731" t="s">
        <v>379</v>
      </c>
      <c r="C1731" s="1">
        <v>43300101</v>
      </c>
      <c r="D1731" t="s">
        <v>67</v>
      </c>
      <c r="H1731" t="str">
        <f t="shared" si="222"/>
        <v>12572900152</v>
      </c>
      <c r="I1731" t="str">
        <f t="shared" si="223"/>
        <v>06032681006</v>
      </c>
      <c r="K1731" t="str">
        <f>""</f>
        <v/>
      </c>
      <c r="M1731" t="s">
        <v>68</v>
      </c>
      <c r="N1731" t="str">
        <f t="shared" si="221"/>
        <v>FOR</v>
      </c>
      <c r="O1731" t="s">
        <v>69</v>
      </c>
      <c r="P1731" t="s">
        <v>75</v>
      </c>
      <c r="Q1731">
        <v>2016</v>
      </c>
      <c r="R1731" s="4">
        <v>42459</v>
      </c>
      <c r="S1731" s="2">
        <v>42477</v>
      </c>
      <c r="T1731" s="2">
        <v>42477</v>
      </c>
      <c r="U1731" s="4">
        <v>42537</v>
      </c>
      <c r="V1731" t="s">
        <v>71</v>
      </c>
      <c r="W1731" t="str">
        <f>"            25306467"</f>
        <v xml:space="preserve">            25306467</v>
      </c>
      <c r="X1731">
        <v>252.72</v>
      </c>
      <c r="Y1731">
        <v>0</v>
      </c>
      <c r="Z1731" s="5">
        <v>243</v>
      </c>
      <c r="AA1731" s="3">
        <v>237</v>
      </c>
      <c r="AB1731" s="5">
        <v>57591</v>
      </c>
      <c r="AC1731">
        <v>243</v>
      </c>
      <c r="AD1731">
        <v>237</v>
      </c>
      <c r="AE1731" s="1">
        <v>57591</v>
      </c>
      <c r="AF1731">
        <v>0</v>
      </c>
      <c r="AJ1731">
        <v>0</v>
      </c>
      <c r="AK1731">
        <v>0</v>
      </c>
      <c r="AL1731">
        <v>0</v>
      </c>
      <c r="AM1731">
        <v>0</v>
      </c>
      <c r="AN1731">
        <v>0</v>
      </c>
      <c r="AO1731">
        <v>0</v>
      </c>
      <c r="AP1731" s="2">
        <v>42831</v>
      </c>
      <c r="AQ1731" t="s">
        <v>72</v>
      </c>
      <c r="AR1731" t="s">
        <v>72</v>
      </c>
      <c r="AS1731">
        <v>342</v>
      </c>
      <c r="AT1731" s="4">
        <v>42774</v>
      </c>
      <c r="AU1731" t="s">
        <v>73</v>
      </c>
      <c r="AV1731">
        <v>342</v>
      </c>
      <c r="AW1731" s="4">
        <v>42774</v>
      </c>
      <c r="BD1731">
        <v>0</v>
      </c>
      <c r="BN1731" t="s">
        <v>74</v>
      </c>
    </row>
    <row r="1732" spans="1:66">
      <c r="A1732">
        <v>104093</v>
      </c>
      <c r="B1732" t="s">
        <v>379</v>
      </c>
      <c r="C1732" s="1">
        <v>43300101</v>
      </c>
      <c r="D1732" t="s">
        <v>67</v>
      </c>
      <c r="H1732" t="str">
        <f t="shared" si="222"/>
        <v>12572900152</v>
      </c>
      <c r="I1732" t="str">
        <f t="shared" si="223"/>
        <v>06032681006</v>
      </c>
      <c r="K1732" t="str">
        <f>""</f>
        <v/>
      </c>
      <c r="M1732" t="s">
        <v>68</v>
      </c>
      <c r="N1732" t="str">
        <f t="shared" si="221"/>
        <v>FOR</v>
      </c>
      <c r="O1732" t="s">
        <v>69</v>
      </c>
      <c r="P1732" t="s">
        <v>75</v>
      </c>
      <c r="Q1732">
        <v>2016</v>
      </c>
      <c r="R1732" s="4">
        <v>42460</v>
      </c>
      <c r="S1732" s="2">
        <v>42477</v>
      </c>
      <c r="T1732" s="2">
        <v>42477</v>
      </c>
      <c r="U1732" s="4">
        <v>42537</v>
      </c>
      <c r="V1732" t="s">
        <v>71</v>
      </c>
      <c r="W1732" t="str">
        <f>"            25306643"</f>
        <v xml:space="preserve">            25306643</v>
      </c>
      <c r="X1732">
        <v>707.62</v>
      </c>
      <c r="Y1732">
        <v>0</v>
      </c>
      <c r="Z1732" s="5">
        <v>680.4</v>
      </c>
      <c r="AA1732" s="3">
        <v>237</v>
      </c>
      <c r="AB1732" s="5">
        <v>161254.79999999999</v>
      </c>
      <c r="AC1732">
        <v>680.4</v>
      </c>
      <c r="AD1732">
        <v>237</v>
      </c>
      <c r="AE1732" s="1">
        <v>161254.79999999999</v>
      </c>
      <c r="AF1732">
        <v>0</v>
      </c>
      <c r="AJ1732">
        <v>0</v>
      </c>
      <c r="AK1732">
        <v>0</v>
      </c>
      <c r="AL1732">
        <v>0</v>
      </c>
      <c r="AM1732">
        <v>0</v>
      </c>
      <c r="AN1732">
        <v>0</v>
      </c>
      <c r="AO1732">
        <v>0</v>
      </c>
      <c r="AP1732" s="2">
        <v>42831</v>
      </c>
      <c r="AQ1732" t="s">
        <v>72</v>
      </c>
      <c r="AR1732" t="s">
        <v>72</v>
      </c>
      <c r="AS1732">
        <v>342</v>
      </c>
      <c r="AT1732" s="4">
        <v>42774</v>
      </c>
      <c r="AU1732" t="s">
        <v>73</v>
      </c>
      <c r="AV1732">
        <v>342</v>
      </c>
      <c r="AW1732" s="4">
        <v>42774</v>
      </c>
      <c r="BD1732">
        <v>0</v>
      </c>
      <c r="BN1732" t="s">
        <v>74</v>
      </c>
    </row>
    <row r="1733" spans="1:66">
      <c r="A1733">
        <v>104093</v>
      </c>
      <c r="B1733" t="s">
        <v>379</v>
      </c>
      <c r="C1733" s="1">
        <v>43300101</v>
      </c>
      <c r="D1733" t="s">
        <v>67</v>
      </c>
      <c r="H1733" t="str">
        <f t="shared" si="222"/>
        <v>12572900152</v>
      </c>
      <c r="I1733" t="str">
        <f t="shared" si="223"/>
        <v>06032681006</v>
      </c>
      <c r="K1733" t="str">
        <f>""</f>
        <v/>
      </c>
      <c r="M1733" t="s">
        <v>68</v>
      </c>
      <c r="N1733" t="str">
        <f t="shared" si="221"/>
        <v>FOR</v>
      </c>
      <c r="O1733" t="s">
        <v>69</v>
      </c>
      <c r="P1733" t="s">
        <v>75</v>
      </c>
      <c r="Q1733">
        <v>2016</v>
      </c>
      <c r="R1733" s="4">
        <v>42460</v>
      </c>
      <c r="S1733" s="2">
        <v>42477</v>
      </c>
      <c r="T1733" s="2">
        <v>42477</v>
      </c>
      <c r="U1733" s="4">
        <v>42537</v>
      </c>
      <c r="V1733" t="s">
        <v>71</v>
      </c>
      <c r="W1733" t="str">
        <f>"            25306648"</f>
        <v xml:space="preserve">            25306648</v>
      </c>
      <c r="X1733">
        <v>74.88</v>
      </c>
      <c r="Y1733">
        <v>0</v>
      </c>
      <c r="Z1733" s="5">
        <v>72</v>
      </c>
      <c r="AA1733" s="3">
        <v>237</v>
      </c>
      <c r="AB1733" s="5">
        <v>17064</v>
      </c>
      <c r="AC1733">
        <v>72</v>
      </c>
      <c r="AD1733">
        <v>237</v>
      </c>
      <c r="AE1733" s="1">
        <v>17064</v>
      </c>
      <c r="AF1733">
        <v>0</v>
      </c>
      <c r="AJ1733">
        <v>0</v>
      </c>
      <c r="AK1733">
        <v>0</v>
      </c>
      <c r="AL1733">
        <v>0</v>
      </c>
      <c r="AM1733">
        <v>0</v>
      </c>
      <c r="AN1733">
        <v>0</v>
      </c>
      <c r="AO1733">
        <v>0</v>
      </c>
      <c r="AP1733" s="2">
        <v>42831</v>
      </c>
      <c r="AQ1733" t="s">
        <v>72</v>
      </c>
      <c r="AR1733" t="s">
        <v>72</v>
      </c>
      <c r="AS1733">
        <v>342</v>
      </c>
      <c r="AT1733" s="4">
        <v>42774</v>
      </c>
      <c r="AU1733" t="s">
        <v>73</v>
      </c>
      <c r="AV1733">
        <v>342</v>
      </c>
      <c r="AW1733" s="4">
        <v>42774</v>
      </c>
      <c r="BD1733">
        <v>0</v>
      </c>
      <c r="BN1733" t="s">
        <v>74</v>
      </c>
    </row>
    <row r="1734" spans="1:66">
      <c r="A1734">
        <v>104093</v>
      </c>
      <c r="B1734" t="s">
        <v>379</v>
      </c>
      <c r="C1734" s="1">
        <v>43300101</v>
      </c>
      <c r="D1734" t="s">
        <v>67</v>
      </c>
      <c r="H1734" t="str">
        <f t="shared" si="222"/>
        <v>12572900152</v>
      </c>
      <c r="I1734" t="str">
        <f t="shared" si="223"/>
        <v>06032681006</v>
      </c>
      <c r="K1734" t="str">
        <f>""</f>
        <v/>
      </c>
      <c r="M1734" t="s">
        <v>68</v>
      </c>
      <c r="N1734" t="str">
        <f t="shared" si="221"/>
        <v>FOR</v>
      </c>
      <c r="O1734" t="s">
        <v>69</v>
      </c>
      <c r="P1734" t="s">
        <v>75</v>
      </c>
      <c r="Q1734">
        <v>2016</v>
      </c>
      <c r="R1734" s="4">
        <v>42460</v>
      </c>
      <c r="S1734" s="2">
        <v>42477</v>
      </c>
      <c r="T1734" s="2">
        <v>42477</v>
      </c>
      <c r="U1734" s="4">
        <v>42537</v>
      </c>
      <c r="V1734" t="s">
        <v>71</v>
      </c>
      <c r="W1734" t="str">
        <f>"            25306651"</f>
        <v xml:space="preserve">            25306651</v>
      </c>
      <c r="X1734">
        <v>74.88</v>
      </c>
      <c r="Y1734">
        <v>0</v>
      </c>
      <c r="Z1734" s="5">
        <v>72</v>
      </c>
      <c r="AA1734" s="3">
        <v>237</v>
      </c>
      <c r="AB1734" s="5">
        <v>17064</v>
      </c>
      <c r="AC1734">
        <v>72</v>
      </c>
      <c r="AD1734">
        <v>237</v>
      </c>
      <c r="AE1734" s="1">
        <v>17064</v>
      </c>
      <c r="AF1734">
        <v>0</v>
      </c>
      <c r="AJ1734">
        <v>0</v>
      </c>
      <c r="AK1734">
        <v>0</v>
      </c>
      <c r="AL1734">
        <v>0</v>
      </c>
      <c r="AM1734">
        <v>0</v>
      </c>
      <c r="AN1734">
        <v>0</v>
      </c>
      <c r="AO1734">
        <v>0</v>
      </c>
      <c r="AP1734" s="2">
        <v>42831</v>
      </c>
      <c r="AQ1734" t="s">
        <v>72</v>
      </c>
      <c r="AR1734" t="s">
        <v>72</v>
      </c>
      <c r="AS1734">
        <v>342</v>
      </c>
      <c r="AT1734" s="4">
        <v>42774</v>
      </c>
      <c r="AU1734" t="s">
        <v>73</v>
      </c>
      <c r="AV1734">
        <v>342</v>
      </c>
      <c r="AW1734" s="4">
        <v>42774</v>
      </c>
      <c r="BD1734">
        <v>0</v>
      </c>
      <c r="BN1734" t="s">
        <v>74</v>
      </c>
    </row>
    <row r="1735" spans="1:66">
      <c r="A1735">
        <v>104093</v>
      </c>
      <c r="B1735" t="s">
        <v>379</v>
      </c>
      <c r="C1735" s="1">
        <v>43300101</v>
      </c>
      <c r="D1735" t="s">
        <v>67</v>
      </c>
      <c r="H1735" t="str">
        <f t="shared" si="222"/>
        <v>12572900152</v>
      </c>
      <c r="I1735" t="str">
        <f t="shared" si="223"/>
        <v>06032681006</v>
      </c>
      <c r="K1735" t="str">
        <f>""</f>
        <v/>
      </c>
      <c r="M1735" t="s">
        <v>68</v>
      </c>
      <c r="N1735" t="str">
        <f t="shared" si="221"/>
        <v>FOR</v>
      </c>
      <c r="O1735" t="s">
        <v>69</v>
      </c>
      <c r="P1735" t="s">
        <v>75</v>
      </c>
      <c r="Q1735">
        <v>2016</v>
      </c>
      <c r="R1735" s="4">
        <v>42460</v>
      </c>
      <c r="S1735" s="2">
        <v>42477</v>
      </c>
      <c r="T1735" s="2">
        <v>42477</v>
      </c>
      <c r="U1735" s="4">
        <v>42537</v>
      </c>
      <c r="V1735" t="s">
        <v>71</v>
      </c>
      <c r="W1735" t="str">
        <f>"            25306654"</f>
        <v xml:space="preserve">            25306654</v>
      </c>
      <c r="X1735">
        <v>74.88</v>
      </c>
      <c r="Y1735">
        <v>0</v>
      </c>
      <c r="Z1735" s="5">
        <v>72</v>
      </c>
      <c r="AA1735" s="3">
        <v>237</v>
      </c>
      <c r="AB1735" s="5">
        <v>17064</v>
      </c>
      <c r="AC1735">
        <v>72</v>
      </c>
      <c r="AD1735">
        <v>237</v>
      </c>
      <c r="AE1735" s="1">
        <v>17064</v>
      </c>
      <c r="AF1735">
        <v>0</v>
      </c>
      <c r="AJ1735">
        <v>0</v>
      </c>
      <c r="AK1735">
        <v>0</v>
      </c>
      <c r="AL1735">
        <v>0</v>
      </c>
      <c r="AM1735">
        <v>0</v>
      </c>
      <c r="AN1735">
        <v>0</v>
      </c>
      <c r="AO1735">
        <v>0</v>
      </c>
      <c r="AP1735" s="2">
        <v>42831</v>
      </c>
      <c r="AQ1735" t="s">
        <v>72</v>
      </c>
      <c r="AR1735" t="s">
        <v>72</v>
      </c>
      <c r="AS1735">
        <v>342</v>
      </c>
      <c r="AT1735" s="4">
        <v>42774</v>
      </c>
      <c r="AU1735" t="s">
        <v>73</v>
      </c>
      <c r="AV1735">
        <v>342</v>
      </c>
      <c r="AW1735" s="4">
        <v>42774</v>
      </c>
      <c r="BD1735">
        <v>0</v>
      </c>
      <c r="BN1735" t="s">
        <v>74</v>
      </c>
    </row>
    <row r="1736" spans="1:66">
      <c r="A1736">
        <v>104093</v>
      </c>
      <c r="B1736" t="s">
        <v>379</v>
      </c>
      <c r="C1736" s="1">
        <v>43300101</v>
      </c>
      <c r="D1736" t="s">
        <v>67</v>
      </c>
      <c r="H1736" t="str">
        <f t="shared" si="222"/>
        <v>12572900152</v>
      </c>
      <c r="I1736" t="str">
        <f t="shared" si="223"/>
        <v>06032681006</v>
      </c>
      <c r="K1736" t="str">
        <f>""</f>
        <v/>
      </c>
      <c r="M1736" t="s">
        <v>68</v>
      </c>
      <c r="N1736" t="str">
        <f t="shared" si="221"/>
        <v>FOR</v>
      </c>
      <c r="O1736" t="s">
        <v>69</v>
      </c>
      <c r="P1736" t="s">
        <v>75</v>
      </c>
      <c r="Q1736">
        <v>2016</v>
      </c>
      <c r="R1736" s="4">
        <v>42460</v>
      </c>
      <c r="S1736" s="2">
        <v>42477</v>
      </c>
      <c r="T1736" s="2">
        <v>42477</v>
      </c>
      <c r="U1736" s="4">
        <v>42537</v>
      </c>
      <c r="V1736" t="s">
        <v>71</v>
      </c>
      <c r="W1736" t="str">
        <f>"            25306656"</f>
        <v xml:space="preserve">            25306656</v>
      </c>
      <c r="X1736">
        <v>403.42</v>
      </c>
      <c r="Y1736">
        <v>0</v>
      </c>
      <c r="Z1736" s="5">
        <v>387.9</v>
      </c>
      <c r="AA1736" s="3">
        <v>237</v>
      </c>
      <c r="AB1736" s="5">
        <v>91932.3</v>
      </c>
      <c r="AC1736">
        <v>387.9</v>
      </c>
      <c r="AD1736">
        <v>237</v>
      </c>
      <c r="AE1736" s="1">
        <v>91932.3</v>
      </c>
      <c r="AF1736">
        <v>0</v>
      </c>
      <c r="AJ1736">
        <v>0</v>
      </c>
      <c r="AK1736">
        <v>0</v>
      </c>
      <c r="AL1736">
        <v>0</v>
      </c>
      <c r="AM1736">
        <v>0</v>
      </c>
      <c r="AN1736">
        <v>0</v>
      </c>
      <c r="AO1736">
        <v>0</v>
      </c>
      <c r="AP1736" s="2">
        <v>42831</v>
      </c>
      <c r="AQ1736" t="s">
        <v>72</v>
      </c>
      <c r="AR1736" t="s">
        <v>72</v>
      </c>
      <c r="AS1736">
        <v>342</v>
      </c>
      <c r="AT1736" s="4">
        <v>42774</v>
      </c>
      <c r="AU1736" t="s">
        <v>73</v>
      </c>
      <c r="AV1736">
        <v>342</v>
      </c>
      <c r="AW1736" s="4">
        <v>42774</v>
      </c>
      <c r="BD1736">
        <v>0</v>
      </c>
      <c r="BN1736" t="s">
        <v>74</v>
      </c>
    </row>
    <row r="1737" spans="1:66">
      <c r="A1737">
        <v>104093</v>
      </c>
      <c r="B1737" t="s">
        <v>379</v>
      </c>
      <c r="C1737" s="1">
        <v>43300101</v>
      </c>
      <c r="D1737" t="s">
        <v>67</v>
      </c>
      <c r="H1737" t="str">
        <f t="shared" si="222"/>
        <v>12572900152</v>
      </c>
      <c r="I1737" t="str">
        <f t="shared" si="223"/>
        <v>06032681006</v>
      </c>
      <c r="K1737" t="str">
        <f>""</f>
        <v/>
      </c>
      <c r="M1737" t="s">
        <v>68</v>
      </c>
      <c r="N1737" t="str">
        <f t="shared" si="221"/>
        <v>FOR</v>
      </c>
      <c r="O1737" t="s">
        <v>69</v>
      </c>
      <c r="P1737" t="s">
        <v>75</v>
      </c>
      <c r="Q1737">
        <v>2016</v>
      </c>
      <c r="R1737" s="4">
        <v>42460</v>
      </c>
      <c r="S1737" s="2">
        <v>42477</v>
      </c>
      <c r="T1737" s="2">
        <v>42477</v>
      </c>
      <c r="U1737" s="4">
        <v>42537</v>
      </c>
      <c r="V1737" t="s">
        <v>71</v>
      </c>
      <c r="W1737" t="str">
        <f>"            25306659"</f>
        <v xml:space="preserve">            25306659</v>
      </c>
      <c r="X1737">
        <v>74.88</v>
      </c>
      <c r="Y1737">
        <v>0</v>
      </c>
      <c r="Z1737" s="5">
        <v>72</v>
      </c>
      <c r="AA1737" s="3">
        <v>237</v>
      </c>
      <c r="AB1737" s="5">
        <v>17064</v>
      </c>
      <c r="AC1737">
        <v>72</v>
      </c>
      <c r="AD1737">
        <v>237</v>
      </c>
      <c r="AE1737" s="1">
        <v>17064</v>
      </c>
      <c r="AF1737">
        <v>0</v>
      </c>
      <c r="AJ1737">
        <v>0</v>
      </c>
      <c r="AK1737">
        <v>0</v>
      </c>
      <c r="AL1737">
        <v>0</v>
      </c>
      <c r="AM1737">
        <v>0</v>
      </c>
      <c r="AN1737">
        <v>0</v>
      </c>
      <c r="AO1737">
        <v>0</v>
      </c>
      <c r="AP1737" s="2">
        <v>42831</v>
      </c>
      <c r="AQ1737" t="s">
        <v>72</v>
      </c>
      <c r="AR1737" t="s">
        <v>72</v>
      </c>
      <c r="AS1737">
        <v>342</v>
      </c>
      <c r="AT1737" s="4">
        <v>42774</v>
      </c>
      <c r="AU1737" t="s">
        <v>73</v>
      </c>
      <c r="AV1737">
        <v>342</v>
      </c>
      <c r="AW1737" s="4">
        <v>42774</v>
      </c>
      <c r="BD1737">
        <v>0</v>
      </c>
      <c r="BN1737" t="s">
        <v>74</v>
      </c>
    </row>
    <row r="1738" spans="1:66">
      <c r="A1738">
        <v>104093</v>
      </c>
      <c r="B1738" t="s">
        <v>379</v>
      </c>
      <c r="C1738" s="1">
        <v>43300101</v>
      </c>
      <c r="D1738" t="s">
        <v>67</v>
      </c>
      <c r="H1738" t="str">
        <f t="shared" si="222"/>
        <v>12572900152</v>
      </c>
      <c r="I1738" t="str">
        <f t="shared" si="223"/>
        <v>06032681006</v>
      </c>
      <c r="K1738" t="str">
        <f>""</f>
        <v/>
      </c>
      <c r="M1738" t="s">
        <v>68</v>
      </c>
      <c r="N1738" t="str">
        <f t="shared" si="221"/>
        <v>FOR</v>
      </c>
      <c r="O1738" t="s">
        <v>69</v>
      </c>
      <c r="P1738" t="s">
        <v>75</v>
      </c>
      <c r="Q1738">
        <v>2016</v>
      </c>
      <c r="R1738" s="4">
        <v>42460</v>
      </c>
      <c r="S1738" s="2">
        <v>42477</v>
      </c>
      <c r="T1738" s="2">
        <v>42477</v>
      </c>
      <c r="U1738" s="4">
        <v>42537</v>
      </c>
      <c r="V1738" t="s">
        <v>71</v>
      </c>
      <c r="W1738" t="str">
        <f>"            25306660"</f>
        <v xml:space="preserve">            25306660</v>
      </c>
      <c r="X1738">
        <v>74.88</v>
      </c>
      <c r="Y1738">
        <v>0</v>
      </c>
      <c r="Z1738" s="5">
        <v>72</v>
      </c>
      <c r="AA1738" s="3">
        <v>237</v>
      </c>
      <c r="AB1738" s="5">
        <v>17064</v>
      </c>
      <c r="AC1738">
        <v>72</v>
      </c>
      <c r="AD1738">
        <v>237</v>
      </c>
      <c r="AE1738" s="1">
        <v>17064</v>
      </c>
      <c r="AF1738">
        <v>0</v>
      </c>
      <c r="AJ1738">
        <v>0</v>
      </c>
      <c r="AK1738">
        <v>0</v>
      </c>
      <c r="AL1738">
        <v>0</v>
      </c>
      <c r="AM1738">
        <v>0</v>
      </c>
      <c r="AN1738">
        <v>0</v>
      </c>
      <c r="AO1738">
        <v>0</v>
      </c>
      <c r="AP1738" s="2">
        <v>42831</v>
      </c>
      <c r="AQ1738" t="s">
        <v>72</v>
      </c>
      <c r="AR1738" t="s">
        <v>72</v>
      </c>
      <c r="AS1738">
        <v>342</v>
      </c>
      <c r="AT1738" s="4">
        <v>42774</v>
      </c>
      <c r="AU1738" t="s">
        <v>73</v>
      </c>
      <c r="AV1738">
        <v>342</v>
      </c>
      <c r="AW1738" s="4">
        <v>42774</v>
      </c>
      <c r="BD1738">
        <v>0</v>
      </c>
      <c r="BN1738" t="s">
        <v>74</v>
      </c>
    </row>
    <row r="1739" spans="1:66">
      <c r="A1739">
        <v>104093</v>
      </c>
      <c r="B1739" t="s">
        <v>379</v>
      </c>
      <c r="C1739" s="1">
        <v>43300101</v>
      </c>
      <c r="D1739" t="s">
        <v>67</v>
      </c>
      <c r="H1739" t="str">
        <f t="shared" si="222"/>
        <v>12572900152</v>
      </c>
      <c r="I1739" t="str">
        <f t="shared" si="223"/>
        <v>06032681006</v>
      </c>
      <c r="K1739" t="str">
        <f>""</f>
        <v/>
      </c>
      <c r="M1739" t="s">
        <v>68</v>
      </c>
      <c r="N1739" t="str">
        <f t="shared" si="221"/>
        <v>FOR</v>
      </c>
      <c r="O1739" t="s">
        <v>69</v>
      </c>
      <c r="P1739" t="s">
        <v>75</v>
      </c>
      <c r="Q1739">
        <v>2016</v>
      </c>
      <c r="R1739" s="4">
        <v>42460</v>
      </c>
      <c r="S1739" s="2">
        <v>42477</v>
      </c>
      <c r="T1739" s="2">
        <v>42477</v>
      </c>
      <c r="U1739" s="4">
        <v>42537</v>
      </c>
      <c r="V1739" t="s">
        <v>71</v>
      </c>
      <c r="W1739" t="str">
        <f>"            25306663"</f>
        <v xml:space="preserve">            25306663</v>
      </c>
      <c r="X1739">
        <v>74.88</v>
      </c>
      <c r="Y1739">
        <v>0</v>
      </c>
      <c r="Z1739" s="5">
        <v>72</v>
      </c>
      <c r="AA1739" s="3">
        <v>237</v>
      </c>
      <c r="AB1739" s="5">
        <v>17064</v>
      </c>
      <c r="AC1739">
        <v>72</v>
      </c>
      <c r="AD1739">
        <v>237</v>
      </c>
      <c r="AE1739" s="1">
        <v>17064</v>
      </c>
      <c r="AF1739">
        <v>0</v>
      </c>
      <c r="AJ1739">
        <v>0</v>
      </c>
      <c r="AK1739">
        <v>0</v>
      </c>
      <c r="AL1739">
        <v>0</v>
      </c>
      <c r="AM1739">
        <v>0</v>
      </c>
      <c r="AN1739">
        <v>0</v>
      </c>
      <c r="AO1739">
        <v>0</v>
      </c>
      <c r="AP1739" s="2">
        <v>42831</v>
      </c>
      <c r="AQ1739" t="s">
        <v>72</v>
      </c>
      <c r="AR1739" t="s">
        <v>72</v>
      </c>
      <c r="AS1739">
        <v>342</v>
      </c>
      <c r="AT1739" s="4">
        <v>42774</v>
      </c>
      <c r="AU1739" t="s">
        <v>73</v>
      </c>
      <c r="AV1739">
        <v>342</v>
      </c>
      <c r="AW1739" s="4">
        <v>42774</v>
      </c>
      <c r="BD1739">
        <v>0</v>
      </c>
      <c r="BN1739" t="s">
        <v>74</v>
      </c>
    </row>
    <row r="1740" spans="1:66">
      <c r="A1740">
        <v>104093</v>
      </c>
      <c r="B1740" t="s">
        <v>379</v>
      </c>
      <c r="C1740" s="1">
        <v>43300101</v>
      </c>
      <c r="D1740" t="s">
        <v>67</v>
      </c>
      <c r="H1740" t="str">
        <f t="shared" si="222"/>
        <v>12572900152</v>
      </c>
      <c r="I1740" t="str">
        <f t="shared" si="223"/>
        <v>06032681006</v>
      </c>
      <c r="K1740" t="str">
        <f>""</f>
        <v/>
      </c>
      <c r="M1740" t="s">
        <v>68</v>
      </c>
      <c r="N1740" t="str">
        <f t="shared" si="221"/>
        <v>FOR</v>
      </c>
      <c r="O1740" t="s">
        <v>69</v>
      </c>
      <c r="P1740" t="s">
        <v>75</v>
      </c>
      <c r="Q1740">
        <v>2016</v>
      </c>
      <c r="R1740" s="4">
        <v>42460</v>
      </c>
      <c r="S1740" s="2">
        <v>42477</v>
      </c>
      <c r="T1740" s="2">
        <v>42477</v>
      </c>
      <c r="U1740" s="4">
        <v>42537</v>
      </c>
      <c r="V1740" t="s">
        <v>71</v>
      </c>
      <c r="W1740" t="str">
        <f>"            25306674"</f>
        <v xml:space="preserve">            25306674</v>
      </c>
      <c r="X1740">
        <v>936</v>
      </c>
      <c r="Y1740">
        <v>0</v>
      </c>
      <c r="Z1740" s="5">
        <v>900</v>
      </c>
      <c r="AA1740" s="3">
        <v>237</v>
      </c>
      <c r="AB1740" s="5">
        <v>213300</v>
      </c>
      <c r="AC1740">
        <v>900</v>
      </c>
      <c r="AD1740">
        <v>237</v>
      </c>
      <c r="AE1740" s="1">
        <v>213300</v>
      </c>
      <c r="AF1740">
        <v>0</v>
      </c>
      <c r="AJ1740">
        <v>0</v>
      </c>
      <c r="AK1740">
        <v>0</v>
      </c>
      <c r="AL1740">
        <v>0</v>
      </c>
      <c r="AM1740">
        <v>0</v>
      </c>
      <c r="AN1740">
        <v>0</v>
      </c>
      <c r="AO1740">
        <v>0</v>
      </c>
      <c r="AP1740" s="2">
        <v>42831</v>
      </c>
      <c r="AQ1740" t="s">
        <v>72</v>
      </c>
      <c r="AR1740" t="s">
        <v>72</v>
      </c>
      <c r="AS1740">
        <v>342</v>
      </c>
      <c r="AT1740" s="4">
        <v>42774</v>
      </c>
      <c r="AU1740" t="s">
        <v>73</v>
      </c>
      <c r="AV1740">
        <v>342</v>
      </c>
      <c r="AW1740" s="4">
        <v>42774</v>
      </c>
      <c r="BD1740">
        <v>0</v>
      </c>
      <c r="BN1740" t="s">
        <v>74</v>
      </c>
    </row>
    <row r="1741" spans="1:66">
      <c r="A1741">
        <v>104093</v>
      </c>
      <c r="B1741" t="s">
        <v>379</v>
      </c>
      <c r="C1741" s="1">
        <v>43300101</v>
      </c>
      <c r="D1741" t="s">
        <v>67</v>
      </c>
      <c r="H1741" t="str">
        <f t="shared" si="222"/>
        <v>12572900152</v>
      </c>
      <c r="I1741" t="str">
        <f t="shared" si="223"/>
        <v>06032681006</v>
      </c>
      <c r="K1741" t="str">
        <f>""</f>
        <v/>
      </c>
      <c r="M1741" t="s">
        <v>68</v>
      </c>
      <c r="N1741" t="str">
        <f t="shared" si="221"/>
        <v>FOR</v>
      </c>
      <c r="O1741" t="s">
        <v>69</v>
      </c>
      <c r="P1741" t="s">
        <v>75</v>
      </c>
      <c r="Q1741">
        <v>2016</v>
      </c>
      <c r="R1741" s="4">
        <v>42460</v>
      </c>
      <c r="S1741" s="2">
        <v>42477</v>
      </c>
      <c r="T1741" s="2">
        <v>42477</v>
      </c>
      <c r="U1741" s="4">
        <v>42537</v>
      </c>
      <c r="V1741" t="s">
        <v>71</v>
      </c>
      <c r="W1741" t="str">
        <f>"            25306677"</f>
        <v xml:space="preserve">            25306677</v>
      </c>
      <c r="X1741">
        <v>936</v>
      </c>
      <c r="Y1741">
        <v>0</v>
      </c>
      <c r="Z1741" s="5">
        <v>900</v>
      </c>
      <c r="AA1741" s="3">
        <v>237</v>
      </c>
      <c r="AB1741" s="5">
        <v>213300</v>
      </c>
      <c r="AC1741">
        <v>900</v>
      </c>
      <c r="AD1741">
        <v>237</v>
      </c>
      <c r="AE1741" s="1">
        <v>213300</v>
      </c>
      <c r="AF1741">
        <v>0</v>
      </c>
      <c r="AJ1741">
        <v>0</v>
      </c>
      <c r="AK1741">
        <v>0</v>
      </c>
      <c r="AL1741">
        <v>0</v>
      </c>
      <c r="AM1741">
        <v>0</v>
      </c>
      <c r="AN1741">
        <v>0</v>
      </c>
      <c r="AO1741">
        <v>0</v>
      </c>
      <c r="AP1741" s="2">
        <v>42831</v>
      </c>
      <c r="AQ1741" t="s">
        <v>72</v>
      </c>
      <c r="AR1741" t="s">
        <v>72</v>
      </c>
      <c r="AS1741">
        <v>342</v>
      </c>
      <c r="AT1741" s="4">
        <v>42774</v>
      </c>
      <c r="AU1741" t="s">
        <v>73</v>
      </c>
      <c r="AV1741">
        <v>342</v>
      </c>
      <c r="AW1741" s="4">
        <v>42774</v>
      </c>
      <c r="BD1741">
        <v>0</v>
      </c>
      <c r="BN1741" t="s">
        <v>74</v>
      </c>
    </row>
    <row r="1742" spans="1:66">
      <c r="A1742">
        <v>104093</v>
      </c>
      <c r="B1742" t="s">
        <v>379</v>
      </c>
      <c r="C1742" s="1">
        <v>43300101</v>
      </c>
      <c r="D1742" t="s">
        <v>67</v>
      </c>
      <c r="H1742" t="str">
        <f t="shared" si="222"/>
        <v>12572900152</v>
      </c>
      <c r="I1742" t="str">
        <f t="shared" si="223"/>
        <v>06032681006</v>
      </c>
      <c r="K1742" t="str">
        <f>""</f>
        <v/>
      </c>
      <c r="M1742" t="s">
        <v>68</v>
      </c>
      <c r="N1742" t="str">
        <f t="shared" si="221"/>
        <v>FOR</v>
      </c>
      <c r="O1742" t="s">
        <v>69</v>
      </c>
      <c r="P1742" t="s">
        <v>75</v>
      </c>
      <c r="Q1742">
        <v>2016</v>
      </c>
      <c r="R1742" s="4">
        <v>42460</v>
      </c>
      <c r="S1742" s="2">
        <v>42477</v>
      </c>
      <c r="T1742" s="2">
        <v>42477</v>
      </c>
      <c r="U1742" s="4">
        <v>42537</v>
      </c>
      <c r="V1742" t="s">
        <v>71</v>
      </c>
      <c r="W1742" t="str">
        <f>"            25306680"</f>
        <v xml:space="preserve">            25306680</v>
      </c>
      <c r="X1742">
        <v>936</v>
      </c>
      <c r="Y1742">
        <v>0</v>
      </c>
      <c r="Z1742" s="5">
        <v>900</v>
      </c>
      <c r="AA1742" s="3">
        <v>237</v>
      </c>
      <c r="AB1742" s="5">
        <v>213300</v>
      </c>
      <c r="AC1742">
        <v>900</v>
      </c>
      <c r="AD1742">
        <v>237</v>
      </c>
      <c r="AE1742" s="1">
        <v>213300</v>
      </c>
      <c r="AF1742">
        <v>0</v>
      </c>
      <c r="AJ1742">
        <v>0</v>
      </c>
      <c r="AK1742">
        <v>0</v>
      </c>
      <c r="AL1742">
        <v>0</v>
      </c>
      <c r="AM1742">
        <v>0</v>
      </c>
      <c r="AN1742">
        <v>0</v>
      </c>
      <c r="AO1742">
        <v>0</v>
      </c>
      <c r="AP1742" s="2">
        <v>42831</v>
      </c>
      <c r="AQ1742" t="s">
        <v>72</v>
      </c>
      <c r="AR1742" t="s">
        <v>72</v>
      </c>
      <c r="AS1742">
        <v>342</v>
      </c>
      <c r="AT1742" s="4">
        <v>42774</v>
      </c>
      <c r="AU1742" t="s">
        <v>73</v>
      </c>
      <c r="AV1742">
        <v>342</v>
      </c>
      <c r="AW1742" s="4">
        <v>42774</v>
      </c>
      <c r="BD1742">
        <v>0</v>
      </c>
      <c r="BN1742" t="s">
        <v>74</v>
      </c>
    </row>
    <row r="1743" spans="1:66">
      <c r="A1743">
        <v>104093</v>
      </c>
      <c r="B1743" t="s">
        <v>379</v>
      </c>
      <c r="C1743" s="1">
        <v>43300101</v>
      </c>
      <c r="D1743" t="s">
        <v>67</v>
      </c>
      <c r="H1743" t="str">
        <f t="shared" si="222"/>
        <v>12572900152</v>
      </c>
      <c r="I1743" t="str">
        <f t="shared" si="223"/>
        <v>06032681006</v>
      </c>
      <c r="K1743" t="str">
        <f>""</f>
        <v/>
      </c>
      <c r="M1743" t="s">
        <v>68</v>
      </c>
      <c r="N1743" t="str">
        <f t="shared" si="221"/>
        <v>FOR</v>
      </c>
      <c r="O1743" t="s">
        <v>69</v>
      </c>
      <c r="P1743" t="s">
        <v>75</v>
      </c>
      <c r="Q1743">
        <v>2016</v>
      </c>
      <c r="R1743" s="4">
        <v>42460</v>
      </c>
      <c r="S1743" s="2">
        <v>42477</v>
      </c>
      <c r="T1743" s="2">
        <v>42477</v>
      </c>
      <c r="U1743" s="4">
        <v>42537</v>
      </c>
      <c r="V1743" t="s">
        <v>71</v>
      </c>
      <c r="W1743" t="str">
        <f>"            25306684"</f>
        <v xml:space="preserve">            25306684</v>
      </c>
      <c r="X1743">
        <v>936</v>
      </c>
      <c r="Y1743">
        <v>0</v>
      </c>
      <c r="Z1743" s="5">
        <v>900</v>
      </c>
      <c r="AA1743" s="3">
        <v>237</v>
      </c>
      <c r="AB1743" s="5">
        <v>213300</v>
      </c>
      <c r="AC1743">
        <v>900</v>
      </c>
      <c r="AD1743">
        <v>237</v>
      </c>
      <c r="AE1743" s="1">
        <v>213300</v>
      </c>
      <c r="AF1743">
        <v>0</v>
      </c>
      <c r="AJ1743">
        <v>0</v>
      </c>
      <c r="AK1743">
        <v>0</v>
      </c>
      <c r="AL1743">
        <v>0</v>
      </c>
      <c r="AM1743">
        <v>0</v>
      </c>
      <c r="AN1743">
        <v>0</v>
      </c>
      <c r="AO1743">
        <v>0</v>
      </c>
      <c r="AP1743" s="2">
        <v>42831</v>
      </c>
      <c r="AQ1743" t="s">
        <v>72</v>
      </c>
      <c r="AR1743" t="s">
        <v>72</v>
      </c>
      <c r="AS1743">
        <v>342</v>
      </c>
      <c r="AT1743" s="4">
        <v>42774</v>
      </c>
      <c r="AU1743" t="s">
        <v>73</v>
      </c>
      <c r="AV1743">
        <v>342</v>
      </c>
      <c r="AW1743" s="4">
        <v>42774</v>
      </c>
      <c r="BD1743">
        <v>0</v>
      </c>
      <c r="BN1743" t="s">
        <v>74</v>
      </c>
    </row>
    <row r="1744" spans="1:66">
      <c r="A1744">
        <v>104093</v>
      </c>
      <c r="B1744" t="s">
        <v>379</v>
      </c>
      <c r="C1744" s="1">
        <v>43300101</v>
      </c>
      <c r="D1744" t="s">
        <v>67</v>
      </c>
      <c r="H1744" t="str">
        <f t="shared" si="222"/>
        <v>12572900152</v>
      </c>
      <c r="I1744" t="str">
        <f t="shared" si="223"/>
        <v>06032681006</v>
      </c>
      <c r="K1744" t="str">
        <f>""</f>
        <v/>
      </c>
      <c r="M1744" t="s">
        <v>68</v>
      </c>
      <c r="N1744" t="str">
        <f t="shared" si="221"/>
        <v>FOR</v>
      </c>
      <c r="O1744" t="s">
        <v>69</v>
      </c>
      <c r="P1744" t="s">
        <v>75</v>
      </c>
      <c r="Q1744">
        <v>2016</v>
      </c>
      <c r="R1744" s="4">
        <v>42461</v>
      </c>
      <c r="S1744" s="2">
        <v>42477</v>
      </c>
      <c r="T1744" s="2">
        <v>42477</v>
      </c>
      <c r="U1744" s="4">
        <v>42537</v>
      </c>
      <c r="V1744" t="s">
        <v>71</v>
      </c>
      <c r="W1744" t="str">
        <f>"            25306949"</f>
        <v xml:space="preserve">            25306949</v>
      </c>
      <c r="X1744" s="1">
        <v>3472.56</v>
      </c>
      <c r="Y1744">
        <v>0</v>
      </c>
      <c r="Z1744" s="5">
        <v>3339</v>
      </c>
      <c r="AA1744" s="3">
        <v>245</v>
      </c>
      <c r="AB1744" s="5">
        <v>818055</v>
      </c>
      <c r="AC1744" s="1">
        <v>3339</v>
      </c>
      <c r="AD1744">
        <v>245</v>
      </c>
      <c r="AE1744" s="1">
        <v>818055</v>
      </c>
      <c r="AF1744">
        <v>0</v>
      </c>
      <c r="AJ1744">
        <v>0</v>
      </c>
      <c r="AK1744">
        <v>0</v>
      </c>
      <c r="AL1744">
        <v>0</v>
      </c>
      <c r="AM1744">
        <v>0</v>
      </c>
      <c r="AN1744">
        <v>0</v>
      </c>
      <c r="AO1744">
        <v>0</v>
      </c>
      <c r="AP1744" s="2">
        <v>42831</v>
      </c>
      <c r="AQ1744" t="s">
        <v>72</v>
      </c>
      <c r="AR1744" t="s">
        <v>72</v>
      </c>
      <c r="AS1744">
        <v>470</v>
      </c>
      <c r="AT1744" s="4">
        <v>42782</v>
      </c>
      <c r="AU1744" t="s">
        <v>73</v>
      </c>
      <c r="AV1744">
        <v>470</v>
      </c>
      <c r="AW1744" s="4">
        <v>42782</v>
      </c>
      <c r="BD1744">
        <v>0</v>
      </c>
      <c r="BN1744" t="s">
        <v>74</v>
      </c>
    </row>
    <row r="1745" spans="1:66">
      <c r="A1745">
        <v>104093</v>
      </c>
      <c r="B1745" t="s">
        <v>379</v>
      </c>
      <c r="C1745" s="1">
        <v>43300101</v>
      </c>
      <c r="D1745" t="s">
        <v>67</v>
      </c>
      <c r="H1745" t="str">
        <f t="shared" si="222"/>
        <v>12572900152</v>
      </c>
      <c r="I1745" t="str">
        <f t="shared" si="223"/>
        <v>06032681006</v>
      </c>
      <c r="K1745" t="str">
        <f>""</f>
        <v/>
      </c>
      <c r="M1745" t="s">
        <v>68</v>
      </c>
      <c r="N1745" t="str">
        <f t="shared" si="221"/>
        <v>FOR</v>
      </c>
      <c r="O1745" t="s">
        <v>69</v>
      </c>
      <c r="P1745" t="s">
        <v>75</v>
      </c>
      <c r="Q1745">
        <v>2016</v>
      </c>
      <c r="R1745" s="4">
        <v>42472</v>
      </c>
      <c r="S1745" s="2">
        <v>42474</v>
      </c>
      <c r="T1745" s="2">
        <v>42473</v>
      </c>
      <c r="U1745" s="4">
        <v>42533</v>
      </c>
      <c r="V1745" t="s">
        <v>71</v>
      </c>
      <c r="W1745" t="str">
        <f>"            25308619"</f>
        <v xml:space="preserve">            25308619</v>
      </c>
      <c r="X1745" s="1">
        <v>1399.95</v>
      </c>
      <c r="Y1745">
        <v>0</v>
      </c>
      <c r="Z1745" s="5">
        <v>1147.5</v>
      </c>
      <c r="AA1745" s="3">
        <v>249</v>
      </c>
      <c r="AB1745" s="5">
        <v>285727.5</v>
      </c>
      <c r="AC1745" s="1">
        <v>1147.5</v>
      </c>
      <c r="AD1745">
        <v>249</v>
      </c>
      <c r="AE1745" s="1">
        <v>285727.5</v>
      </c>
      <c r="AF1745">
        <v>0</v>
      </c>
      <c r="AJ1745">
        <v>0</v>
      </c>
      <c r="AK1745">
        <v>0</v>
      </c>
      <c r="AL1745">
        <v>0</v>
      </c>
      <c r="AM1745">
        <v>0</v>
      </c>
      <c r="AN1745">
        <v>0</v>
      </c>
      <c r="AO1745">
        <v>0</v>
      </c>
      <c r="AP1745" s="2">
        <v>42831</v>
      </c>
      <c r="AQ1745" t="s">
        <v>72</v>
      </c>
      <c r="AR1745" t="s">
        <v>72</v>
      </c>
      <c r="AS1745">
        <v>470</v>
      </c>
      <c r="AT1745" s="4">
        <v>42782</v>
      </c>
      <c r="AU1745" t="s">
        <v>73</v>
      </c>
      <c r="AV1745">
        <v>470</v>
      </c>
      <c r="AW1745" s="4">
        <v>42782</v>
      </c>
      <c r="BD1745">
        <v>0</v>
      </c>
      <c r="BN1745" t="s">
        <v>74</v>
      </c>
    </row>
    <row r="1746" spans="1:66">
      <c r="A1746">
        <v>104093</v>
      </c>
      <c r="B1746" t="s">
        <v>379</v>
      </c>
      <c r="C1746" s="1">
        <v>43300101</v>
      </c>
      <c r="D1746" t="s">
        <v>67</v>
      </c>
      <c r="H1746" t="str">
        <f t="shared" si="222"/>
        <v>12572900152</v>
      </c>
      <c r="I1746" t="str">
        <f t="shared" si="223"/>
        <v>06032681006</v>
      </c>
      <c r="K1746" t="str">
        <f>""</f>
        <v/>
      </c>
      <c r="M1746" t="s">
        <v>68</v>
      </c>
      <c r="N1746" t="str">
        <f t="shared" si="221"/>
        <v>FOR</v>
      </c>
      <c r="O1746" t="s">
        <v>69</v>
      </c>
      <c r="P1746" t="s">
        <v>75</v>
      </c>
      <c r="Q1746">
        <v>2016</v>
      </c>
      <c r="R1746" s="4">
        <v>42473</v>
      </c>
      <c r="S1746" s="2">
        <v>42477</v>
      </c>
      <c r="T1746" s="2">
        <v>42477</v>
      </c>
      <c r="U1746" s="4">
        <v>42537</v>
      </c>
      <c r="V1746" t="s">
        <v>71</v>
      </c>
      <c r="W1746" t="str">
        <f>"            25308954"</f>
        <v xml:space="preserve">            25308954</v>
      </c>
      <c r="X1746" s="1">
        <v>7329.15</v>
      </c>
      <c r="Y1746">
        <v>0</v>
      </c>
      <c r="Z1746" s="5">
        <v>6007.5</v>
      </c>
      <c r="AA1746" s="3">
        <v>245</v>
      </c>
      <c r="AB1746" s="5">
        <v>1471837.5</v>
      </c>
      <c r="AC1746" s="1">
        <v>6007.5</v>
      </c>
      <c r="AD1746">
        <v>245</v>
      </c>
      <c r="AE1746" s="1">
        <v>1471837.5</v>
      </c>
      <c r="AF1746">
        <v>0</v>
      </c>
      <c r="AJ1746">
        <v>0</v>
      </c>
      <c r="AK1746">
        <v>0</v>
      </c>
      <c r="AL1746">
        <v>0</v>
      </c>
      <c r="AM1746">
        <v>0</v>
      </c>
      <c r="AN1746">
        <v>0</v>
      </c>
      <c r="AO1746">
        <v>0</v>
      </c>
      <c r="AP1746" s="2">
        <v>42831</v>
      </c>
      <c r="AQ1746" t="s">
        <v>72</v>
      </c>
      <c r="AR1746" t="s">
        <v>72</v>
      </c>
      <c r="AS1746">
        <v>470</v>
      </c>
      <c r="AT1746" s="4">
        <v>42782</v>
      </c>
      <c r="AU1746" t="s">
        <v>73</v>
      </c>
      <c r="AV1746">
        <v>470</v>
      </c>
      <c r="AW1746" s="4">
        <v>42782</v>
      </c>
      <c r="BD1746">
        <v>0</v>
      </c>
      <c r="BN1746" t="s">
        <v>74</v>
      </c>
    </row>
    <row r="1747" spans="1:66">
      <c r="A1747">
        <v>104093</v>
      </c>
      <c r="B1747" t="s">
        <v>379</v>
      </c>
      <c r="C1747" s="1">
        <v>43300101</v>
      </c>
      <c r="D1747" t="s">
        <v>67</v>
      </c>
      <c r="H1747" t="str">
        <f t="shared" si="222"/>
        <v>12572900152</v>
      </c>
      <c r="I1747" t="str">
        <f t="shared" si="223"/>
        <v>06032681006</v>
      </c>
      <c r="K1747" t="str">
        <f>""</f>
        <v/>
      </c>
      <c r="M1747" t="s">
        <v>68</v>
      </c>
      <c r="N1747" t="str">
        <f t="shared" si="221"/>
        <v>FOR</v>
      </c>
      <c r="O1747" t="s">
        <v>69</v>
      </c>
      <c r="P1747" t="s">
        <v>75</v>
      </c>
      <c r="Q1747">
        <v>2016</v>
      </c>
      <c r="R1747" s="4">
        <v>42474</v>
      </c>
      <c r="S1747" s="2">
        <v>42478</v>
      </c>
      <c r="T1747" s="2">
        <v>42477</v>
      </c>
      <c r="U1747" s="4">
        <v>42537</v>
      </c>
      <c r="V1747" t="s">
        <v>71</v>
      </c>
      <c r="W1747" t="str">
        <f>"            25309140"</f>
        <v xml:space="preserve">            25309140</v>
      </c>
      <c r="X1747">
        <v>74.88</v>
      </c>
      <c r="Y1747">
        <v>0</v>
      </c>
      <c r="Z1747" s="5">
        <v>72</v>
      </c>
      <c r="AA1747" s="3">
        <v>245</v>
      </c>
      <c r="AB1747" s="5">
        <v>17640</v>
      </c>
      <c r="AC1747">
        <v>72</v>
      </c>
      <c r="AD1747">
        <v>245</v>
      </c>
      <c r="AE1747" s="1">
        <v>17640</v>
      </c>
      <c r="AF1747">
        <v>0</v>
      </c>
      <c r="AJ1747">
        <v>0</v>
      </c>
      <c r="AK1747">
        <v>0</v>
      </c>
      <c r="AL1747">
        <v>0</v>
      </c>
      <c r="AM1747">
        <v>0</v>
      </c>
      <c r="AN1747">
        <v>0</v>
      </c>
      <c r="AO1747">
        <v>0</v>
      </c>
      <c r="AP1747" s="2">
        <v>42831</v>
      </c>
      <c r="AQ1747" t="s">
        <v>72</v>
      </c>
      <c r="AR1747" t="s">
        <v>72</v>
      </c>
      <c r="AS1747">
        <v>470</v>
      </c>
      <c r="AT1747" s="4">
        <v>42782</v>
      </c>
      <c r="AU1747" t="s">
        <v>73</v>
      </c>
      <c r="AV1747">
        <v>470</v>
      </c>
      <c r="AW1747" s="4">
        <v>42782</v>
      </c>
      <c r="BD1747">
        <v>0</v>
      </c>
      <c r="BN1747" t="s">
        <v>74</v>
      </c>
    </row>
    <row r="1748" spans="1:66">
      <c r="A1748">
        <v>104093</v>
      </c>
      <c r="B1748" t="s">
        <v>379</v>
      </c>
      <c r="C1748" s="1">
        <v>43300101</v>
      </c>
      <c r="D1748" t="s">
        <v>67</v>
      </c>
      <c r="H1748" t="str">
        <f t="shared" si="222"/>
        <v>12572900152</v>
      </c>
      <c r="I1748" t="str">
        <f t="shared" si="223"/>
        <v>06032681006</v>
      </c>
      <c r="K1748" t="str">
        <f>""</f>
        <v/>
      </c>
      <c r="M1748" t="s">
        <v>68</v>
      </c>
      <c r="N1748" t="str">
        <f t="shared" si="221"/>
        <v>FOR</v>
      </c>
      <c r="O1748" t="s">
        <v>69</v>
      </c>
      <c r="P1748" t="s">
        <v>75</v>
      </c>
      <c r="Q1748">
        <v>2016</v>
      </c>
      <c r="R1748" s="4">
        <v>42474</v>
      </c>
      <c r="S1748" s="2">
        <v>42478</v>
      </c>
      <c r="T1748" s="2">
        <v>42477</v>
      </c>
      <c r="U1748" s="4">
        <v>42537</v>
      </c>
      <c r="V1748" t="s">
        <v>71</v>
      </c>
      <c r="W1748" t="str">
        <f>"            25309141"</f>
        <v xml:space="preserve">            25309141</v>
      </c>
      <c r="X1748">
        <v>74.88</v>
      </c>
      <c r="Y1748">
        <v>0</v>
      </c>
      <c r="Z1748" s="5">
        <v>72</v>
      </c>
      <c r="AA1748" s="3">
        <v>245</v>
      </c>
      <c r="AB1748" s="5">
        <v>17640</v>
      </c>
      <c r="AC1748">
        <v>72</v>
      </c>
      <c r="AD1748">
        <v>245</v>
      </c>
      <c r="AE1748" s="1">
        <v>17640</v>
      </c>
      <c r="AF1748">
        <v>0</v>
      </c>
      <c r="AJ1748">
        <v>0</v>
      </c>
      <c r="AK1748">
        <v>0</v>
      </c>
      <c r="AL1748">
        <v>0</v>
      </c>
      <c r="AM1748">
        <v>0</v>
      </c>
      <c r="AN1748">
        <v>0</v>
      </c>
      <c r="AO1748">
        <v>0</v>
      </c>
      <c r="AP1748" s="2">
        <v>42831</v>
      </c>
      <c r="AQ1748" t="s">
        <v>72</v>
      </c>
      <c r="AR1748" t="s">
        <v>72</v>
      </c>
      <c r="AS1748">
        <v>470</v>
      </c>
      <c r="AT1748" s="4">
        <v>42782</v>
      </c>
      <c r="AU1748" t="s">
        <v>73</v>
      </c>
      <c r="AV1748">
        <v>470</v>
      </c>
      <c r="AW1748" s="4">
        <v>42782</v>
      </c>
      <c r="BD1748">
        <v>0</v>
      </c>
      <c r="BN1748" t="s">
        <v>74</v>
      </c>
    </row>
    <row r="1749" spans="1:66">
      <c r="A1749">
        <v>104093</v>
      </c>
      <c r="B1749" t="s">
        <v>379</v>
      </c>
      <c r="C1749" s="1">
        <v>43300101</v>
      </c>
      <c r="D1749" t="s">
        <v>67</v>
      </c>
      <c r="H1749" t="str">
        <f t="shared" si="222"/>
        <v>12572900152</v>
      </c>
      <c r="I1749" t="str">
        <f t="shared" si="223"/>
        <v>06032681006</v>
      </c>
      <c r="K1749" t="str">
        <f>""</f>
        <v/>
      </c>
      <c r="M1749" t="s">
        <v>68</v>
      </c>
      <c r="N1749" t="str">
        <f t="shared" si="221"/>
        <v>FOR</v>
      </c>
      <c r="O1749" t="s">
        <v>69</v>
      </c>
      <c r="P1749" t="s">
        <v>75</v>
      </c>
      <c r="Q1749">
        <v>2016</v>
      </c>
      <c r="R1749" s="4">
        <v>42474</v>
      </c>
      <c r="S1749" s="2">
        <v>42478</v>
      </c>
      <c r="T1749" s="2">
        <v>42477</v>
      </c>
      <c r="U1749" s="4">
        <v>42537</v>
      </c>
      <c r="V1749" t="s">
        <v>71</v>
      </c>
      <c r="W1749" t="str">
        <f>"            25309142"</f>
        <v xml:space="preserve">            25309142</v>
      </c>
      <c r="X1749">
        <v>74.88</v>
      </c>
      <c r="Y1749">
        <v>0</v>
      </c>
      <c r="Z1749" s="5">
        <v>72</v>
      </c>
      <c r="AA1749" s="3">
        <v>245</v>
      </c>
      <c r="AB1749" s="5">
        <v>17640</v>
      </c>
      <c r="AC1749">
        <v>72</v>
      </c>
      <c r="AD1749">
        <v>245</v>
      </c>
      <c r="AE1749" s="1">
        <v>17640</v>
      </c>
      <c r="AF1749">
        <v>0</v>
      </c>
      <c r="AJ1749">
        <v>0</v>
      </c>
      <c r="AK1749">
        <v>0</v>
      </c>
      <c r="AL1749">
        <v>0</v>
      </c>
      <c r="AM1749">
        <v>0</v>
      </c>
      <c r="AN1749">
        <v>0</v>
      </c>
      <c r="AO1749">
        <v>0</v>
      </c>
      <c r="AP1749" s="2">
        <v>42831</v>
      </c>
      <c r="AQ1749" t="s">
        <v>72</v>
      </c>
      <c r="AR1749" t="s">
        <v>72</v>
      </c>
      <c r="AS1749">
        <v>470</v>
      </c>
      <c r="AT1749" s="4">
        <v>42782</v>
      </c>
      <c r="AU1749" t="s">
        <v>73</v>
      </c>
      <c r="AV1749">
        <v>470</v>
      </c>
      <c r="AW1749" s="4">
        <v>42782</v>
      </c>
      <c r="BD1749">
        <v>0</v>
      </c>
      <c r="BN1749" t="s">
        <v>74</v>
      </c>
    </row>
    <row r="1750" spans="1:66">
      <c r="A1750">
        <v>104093</v>
      </c>
      <c r="B1750" t="s">
        <v>379</v>
      </c>
      <c r="C1750" s="1">
        <v>43300101</v>
      </c>
      <c r="D1750" t="s">
        <v>67</v>
      </c>
      <c r="H1750" t="str">
        <f t="shared" si="222"/>
        <v>12572900152</v>
      </c>
      <c r="I1750" t="str">
        <f t="shared" si="223"/>
        <v>06032681006</v>
      </c>
      <c r="K1750" t="str">
        <f>""</f>
        <v/>
      </c>
      <c r="M1750" t="s">
        <v>68</v>
      </c>
      <c r="N1750" t="str">
        <f t="shared" si="221"/>
        <v>FOR</v>
      </c>
      <c r="O1750" t="s">
        <v>69</v>
      </c>
      <c r="P1750" t="s">
        <v>75</v>
      </c>
      <c r="Q1750">
        <v>2016</v>
      </c>
      <c r="R1750" s="4">
        <v>42474</v>
      </c>
      <c r="S1750" s="2">
        <v>42478</v>
      </c>
      <c r="T1750" s="2">
        <v>42477</v>
      </c>
      <c r="U1750" s="4">
        <v>42537</v>
      </c>
      <c r="V1750" t="s">
        <v>71</v>
      </c>
      <c r="W1750" t="str">
        <f>"            25309144"</f>
        <v xml:space="preserve">            25309144</v>
      </c>
      <c r="X1750">
        <v>403.42</v>
      </c>
      <c r="Y1750">
        <v>0</v>
      </c>
      <c r="Z1750" s="5">
        <v>387.9</v>
      </c>
      <c r="AA1750" s="3">
        <v>245</v>
      </c>
      <c r="AB1750" s="5">
        <v>95035.5</v>
      </c>
      <c r="AC1750">
        <v>387.9</v>
      </c>
      <c r="AD1750">
        <v>245</v>
      </c>
      <c r="AE1750" s="1">
        <v>95035.5</v>
      </c>
      <c r="AF1750">
        <v>0</v>
      </c>
      <c r="AJ1750">
        <v>0</v>
      </c>
      <c r="AK1750">
        <v>0</v>
      </c>
      <c r="AL1750">
        <v>0</v>
      </c>
      <c r="AM1750">
        <v>0</v>
      </c>
      <c r="AN1750">
        <v>0</v>
      </c>
      <c r="AO1750">
        <v>0</v>
      </c>
      <c r="AP1750" s="2">
        <v>42831</v>
      </c>
      <c r="AQ1750" t="s">
        <v>72</v>
      </c>
      <c r="AR1750" t="s">
        <v>72</v>
      </c>
      <c r="AS1750">
        <v>470</v>
      </c>
      <c r="AT1750" s="4">
        <v>42782</v>
      </c>
      <c r="AU1750" t="s">
        <v>73</v>
      </c>
      <c r="AV1750">
        <v>470</v>
      </c>
      <c r="AW1750" s="4">
        <v>42782</v>
      </c>
      <c r="BD1750">
        <v>0</v>
      </c>
      <c r="BN1750" t="s">
        <v>74</v>
      </c>
    </row>
    <row r="1751" spans="1:66">
      <c r="A1751">
        <v>104093</v>
      </c>
      <c r="B1751" t="s">
        <v>379</v>
      </c>
      <c r="C1751" s="1">
        <v>43300101</v>
      </c>
      <c r="D1751" t="s">
        <v>67</v>
      </c>
      <c r="H1751" t="str">
        <f t="shared" si="222"/>
        <v>12572900152</v>
      </c>
      <c r="I1751" t="str">
        <f t="shared" si="223"/>
        <v>06032681006</v>
      </c>
      <c r="K1751" t="str">
        <f>""</f>
        <v/>
      </c>
      <c r="M1751" t="s">
        <v>68</v>
      </c>
      <c r="N1751" t="str">
        <f t="shared" si="221"/>
        <v>FOR</v>
      </c>
      <c r="O1751" t="s">
        <v>69</v>
      </c>
      <c r="P1751" t="s">
        <v>75</v>
      </c>
      <c r="Q1751">
        <v>2016</v>
      </c>
      <c r="R1751" s="4">
        <v>42474</v>
      </c>
      <c r="S1751" s="2">
        <v>42478</v>
      </c>
      <c r="T1751" s="2">
        <v>42477</v>
      </c>
      <c r="U1751" s="4">
        <v>42537</v>
      </c>
      <c r="V1751" t="s">
        <v>71</v>
      </c>
      <c r="W1751" t="str">
        <f>"            25309145"</f>
        <v xml:space="preserve">            25309145</v>
      </c>
      <c r="X1751">
        <v>707.62</v>
      </c>
      <c r="Y1751">
        <v>0</v>
      </c>
      <c r="Z1751" s="5">
        <v>680.4</v>
      </c>
      <c r="AA1751" s="3">
        <v>245</v>
      </c>
      <c r="AB1751" s="5">
        <v>166698</v>
      </c>
      <c r="AC1751">
        <v>680.4</v>
      </c>
      <c r="AD1751">
        <v>245</v>
      </c>
      <c r="AE1751" s="1">
        <v>166698</v>
      </c>
      <c r="AF1751">
        <v>0</v>
      </c>
      <c r="AJ1751">
        <v>0</v>
      </c>
      <c r="AK1751">
        <v>0</v>
      </c>
      <c r="AL1751">
        <v>0</v>
      </c>
      <c r="AM1751">
        <v>0</v>
      </c>
      <c r="AN1751">
        <v>0</v>
      </c>
      <c r="AO1751">
        <v>0</v>
      </c>
      <c r="AP1751" s="2">
        <v>42831</v>
      </c>
      <c r="AQ1751" t="s">
        <v>72</v>
      </c>
      <c r="AR1751" t="s">
        <v>72</v>
      </c>
      <c r="AS1751">
        <v>470</v>
      </c>
      <c r="AT1751" s="4">
        <v>42782</v>
      </c>
      <c r="AU1751" t="s">
        <v>73</v>
      </c>
      <c r="AV1751">
        <v>470</v>
      </c>
      <c r="AW1751" s="4">
        <v>42782</v>
      </c>
      <c r="BD1751">
        <v>0</v>
      </c>
      <c r="BN1751" t="s">
        <v>74</v>
      </c>
    </row>
    <row r="1752" spans="1:66">
      <c r="A1752">
        <v>104093</v>
      </c>
      <c r="B1752" t="s">
        <v>379</v>
      </c>
      <c r="C1752" s="1">
        <v>43300101</v>
      </c>
      <c r="D1752" t="s">
        <v>67</v>
      </c>
      <c r="H1752" t="str">
        <f t="shared" si="222"/>
        <v>12572900152</v>
      </c>
      <c r="I1752" t="str">
        <f t="shared" si="223"/>
        <v>06032681006</v>
      </c>
      <c r="K1752" t="str">
        <f>""</f>
        <v/>
      </c>
      <c r="M1752" t="s">
        <v>68</v>
      </c>
      <c r="N1752" t="str">
        <f t="shared" si="221"/>
        <v>FOR</v>
      </c>
      <c r="O1752" t="s">
        <v>69</v>
      </c>
      <c r="P1752" t="s">
        <v>75</v>
      </c>
      <c r="Q1752">
        <v>2016</v>
      </c>
      <c r="R1752" s="4">
        <v>42474</v>
      </c>
      <c r="S1752" s="2">
        <v>42478</v>
      </c>
      <c r="T1752" s="2">
        <v>42477</v>
      </c>
      <c r="U1752" s="4">
        <v>42537</v>
      </c>
      <c r="V1752" t="s">
        <v>71</v>
      </c>
      <c r="W1752" t="str">
        <f>"            25309147"</f>
        <v xml:space="preserve">            25309147</v>
      </c>
      <c r="X1752">
        <v>252.72</v>
      </c>
      <c r="Y1752">
        <v>0</v>
      </c>
      <c r="Z1752" s="5">
        <v>243</v>
      </c>
      <c r="AA1752" s="3">
        <v>245</v>
      </c>
      <c r="AB1752" s="5">
        <v>59535</v>
      </c>
      <c r="AC1752">
        <v>243</v>
      </c>
      <c r="AD1752">
        <v>245</v>
      </c>
      <c r="AE1752" s="1">
        <v>59535</v>
      </c>
      <c r="AF1752">
        <v>0</v>
      </c>
      <c r="AJ1752">
        <v>0</v>
      </c>
      <c r="AK1752">
        <v>0</v>
      </c>
      <c r="AL1752">
        <v>0</v>
      </c>
      <c r="AM1752">
        <v>0</v>
      </c>
      <c r="AN1752">
        <v>0</v>
      </c>
      <c r="AO1752">
        <v>0</v>
      </c>
      <c r="AP1752" s="2">
        <v>42831</v>
      </c>
      <c r="AQ1752" t="s">
        <v>72</v>
      </c>
      <c r="AR1752" t="s">
        <v>72</v>
      </c>
      <c r="AS1752">
        <v>470</v>
      </c>
      <c r="AT1752" s="4">
        <v>42782</v>
      </c>
      <c r="AU1752" t="s">
        <v>73</v>
      </c>
      <c r="AV1752">
        <v>470</v>
      </c>
      <c r="AW1752" s="4">
        <v>42782</v>
      </c>
      <c r="BD1752">
        <v>0</v>
      </c>
      <c r="BN1752" t="s">
        <v>74</v>
      </c>
    </row>
    <row r="1753" spans="1:66">
      <c r="A1753">
        <v>104093</v>
      </c>
      <c r="B1753" t="s">
        <v>379</v>
      </c>
      <c r="C1753" s="1">
        <v>43300101</v>
      </c>
      <c r="D1753" t="s">
        <v>67</v>
      </c>
      <c r="H1753" t="str">
        <f t="shared" si="222"/>
        <v>12572900152</v>
      </c>
      <c r="I1753" t="str">
        <f t="shared" si="223"/>
        <v>06032681006</v>
      </c>
      <c r="K1753" t="str">
        <f>""</f>
        <v/>
      </c>
      <c r="M1753" t="s">
        <v>68</v>
      </c>
      <c r="N1753" t="str">
        <f t="shared" si="221"/>
        <v>FOR</v>
      </c>
      <c r="O1753" t="s">
        <v>69</v>
      </c>
      <c r="P1753" t="s">
        <v>75</v>
      </c>
      <c r="Q1753">
        <v>2016</v>
      </c>
      <c r="R1753" s="4">
        <v>42474</v>
      </c>
      <c r="S1753" s="2">
        <v>42478</v>
      </c>
      <c r="T1753" s="2">
        <v>42477</v>
      </c>
      <c r="U1753" s="4">
        <v>42537</v>
      </c>
      <c r="V1753" t="s">
        <v>71</v>
      </c>
      <c r="W1753" t="str">
        <f>"            25309148"</f>
        <v xml:space="preserve">            25309148</v>
      </c>
      <c r="X1753">
        <v>74.88</v>
      </c>
      <c r="Y1753">
        <v>0</v>
      </c>
      <c r="Z1753" s="5">
        <v>72</v>
      </c>
      <c r="AA1753" s="3">
        <v>245</v>
      </c>
      <c r="AB1753" s="5">
        <v>17640</v>
      </c>
      <c r="AC1753">
        <v>72</v>
      </c>
      <c r="AD1753">
        <v>245</v>
      </c>
      <c r="AE1753" s="1">
        <v>17640</v>
      </c>
      <c r="AF1753">
        <v>0</v>
      </c>
      <c r="AJ1753">
        <v>0</v>
      </c>
      <c r="AK1753">
        <v>0</v>
      </c>
      <c r="AL1753">
        <v>0</v>
      </c>
      <c r="AM1753">
        <v>0</v>
      </c>
      <c r="AN1753">
        <v>0</v>
      </c>
      <c r="AO1753">
        <v>0</v>
      </c>
      <c r="AP1753" s="2">
        <v>42831</v>
      </c>
      <c r="AQ1753" t="s">
        <v>72</v>
      </c>
      <c r="AR1753" t="s">
        <v>72</v>
      </c>
      <c r="AS1753">
        <v>470</v>
      </c>
      <c r="AT1753" s="4">
        <v>42782</v>
      </c>
      <c r="AU1753" t="s">
        <v>73</v>
      </c>
      <c r="AV1753">
        <v>470</v>
      </c>
      <c r="AW1753" s="4">
        <v>42782</v>
      </c>
      <c r="BD1753">
        <v>0</v>
      </c>
      <c r="BN1753" t="s">
        <v>74</v>
      </c>
    </row>
    <row r="1754" spans="1:66">
      <c r="A1754">
        <v>104093</v>
      </c>
      <c r="B1754" t="s">
        <v>379</v>
      </c>
      <c r="C1754" s="1">
        <v>43300101</v>
      </c>
      <c r="D1754" t="s">
        <v>67</v>
      </c>
      <c r="H1754" t="str">
        <f t="shared" si="222"/>
        <v>12572900152</v>
      </c>
      <c r="I1754" t="str">
        <f t="shared" si="223"/>
        <v>06032681006</v>
      </c>
      <c r="K1754" t="str">
        <f>""</f>
        <v/>
      </c>
      <c r="M1754" t="s">
        <v>68</v>
      </c>
      <c r="N1754" t="str">
        <f t="shared" si="221"/>
        <v>FOR</v>
      </c>
      <c r="O1754" t="s">
        <v>69</v>
      </c>
      <c r="P1754" t="s">
        <v>75</v>
      </c>
      <c r="Q1754">
        <v>2016</v>
      </c>
      <c r="R1754" s="4">
        <v>42474</v>
      </c>
      <c r="S1754" s="2">
        <v>42478</v>
      </c>
      <c r="T1754" s="2">
        <v>42477</v>
      </c>
      <c r="U1754" s="4">
        <v>42537</v>
      </c>
      <c r="V1754" t="s">
        <v>71</v>
      </c>
      <c r="W1754" t="str">
        <f>"            25309149"</f>
        <v xml:space="preserve">            25309149</v>
      </c>
      <c r="X1754">
        <v>926.64</v>
      </c>
      <c r="Y1754">
        <v>0</v>
      </c>
      <c r="Z1754" s="5">
        <v>891</v>
      </c>
      <c r="AA1754" s="3">
        <v>245</v>
      </c>
      <c r="AB1754" s="5">
        <v>218295</v>
      </c>
      <c r="AC1754">
        <v>891</v>
      </c>
      <c r="AD1754">
        <v>245</v>
      </c>
      <c r="AE1754" s="1">
        <v>218295</v>
      </c>
      <c r="AF1754">
        <v>0</v>
      </c>
      <c r="AJ1754">
        <v>0</v>
      </c>
      <c r="AK1754">
        <v>0</v>
      </c>
      <c r="AL1754">
        <v>0</v>
      </c>
      <c r="AM1754">
        <v>0</v>
      </c>
      <c r="AN1754">
        <v>0</v>
      </c>
      <c r="AO1754">
        <v>0</v>
      </c>
      <c r="AP1754" s="2">
        <v>42831</v>
      </c>
      <c r="AQ1754" t="s">
        <v>72</v>
      </c>
      <c r="AR1754" t="s">
        <v>72</v>
      </c>
      <c r="AS1754">
        <v>470</v>
      </c>
      <c r="AT1754" s="4">
        <v>42782</v>
      </c>
      <c r="AU1754" t="s">
        <v>73</v>
      </c>
      <c r="AV1754">
        <v>470</v>
      </c>
      <c r="AW1754" s="4">
        <v>42782</v>
      </c>
      <c r="BD1754">
        <v>0</v>
      </c>
      <c r="BN1754" t="s">
        <v>74</v>
      </c>
    </row>
    <row r="1755" spans="1:66">
      <c r="A1755">
        <v>104093</v>
      </c>
      <c r="B1755" t="s">
        <v>379</v>
      </c>
      <c r="C1755" s="1">
        <v>43300101</v>
      </c>
      <c r="D1755" t="s">
        <v>67</v>
      </c>
      <c r="H1755" t="str">
        <f t="shared" ref="H1755:H1786" si="224">"12572900152"</f>
        <v>12572900152</v>
      </c>
      <c r="I1755" t="str">
        <f t="shared" ref="I1755:I1786" si="225">"06032681006"</f>
        <v>06032681006</v>
      </c>
      <c r="K1755" t="str">
        <f>""</f>
        <v/>
      </c>
      <c r="M1755" t="s">
        <v>68</v>
      </c>
      <c r="N1755" t="str">
        <f t="shared" si="221"/>
        <v>FOR</v>
      </c>
      <c r="O1755" t="s">
        <v>69</v>
      </c>
      <c r="P1755" t="s">
        <v>75</v>
      </c>
      <c r="Q1755">
        <v>2016</v>
      </c>
      <c r="R1755" s="4">
        <v>42474</v>
      </c>
      <c r="S1755" s="2">
        <v>42478</v>
      </c>
      <c r="T1755" s="2">
        <v>42477</v>
      </c>
      <c r="U1755" s="4">
        <v>42537</v>
      </c>
      <c r="V1755" t="s">
        <v>71</v>
      </c>
      <c r="W1755" t="str">
        <f>"            25309150"</f>
        <v xml:space="preserve">            25309150</v>
      </c>
      <c r="X1755">
        <v>252.72</v>
      </c>
      <c r="Y1755">
        <v>0</v>
      </c>
      <c r="Z1755" s="5">
        <v>243</v>
      </c>
      <c r="AA1755" s="3">
        <v>245</v>
      </c>
      <c r="AB1755" s="5">
        <v>59535</v>
      </c>
      <c r="AC1755">
        <v>243</v>
      </c>
      <c r="AD1755">
        <v>245</v>
      </c>
      <c r="AE1755" s="1">
        <v>59535</v>
      </c>
      <c r="AF1755">
        <v>0</v>
      </c>
      <c r="AJ1755">
        <v>0</v>
      </c>
      <c r="AK1755">
        <v>0</v>
      </c>
      <c r="AL1755">
        <v>0</v>
      </c>
      <c r="AM1755">
        <v>0</v>
      </c>
      <c r="AN1755">
        <v>0</v>
      </c>
      <c r="AO1755">
        <v>0</v>
      </c>
      <c r="AP1755" s="2">
        <v>42831</v>
      </c>
      <c r="AQ1755" t="s">
        <v>72</v>
      </c>
      <c r="AR1755" t="s">
        <v>72</v>
      </c>
      <c r="AS1755">
        <v>470</v>
      </c>
      <c r="AT1755" s="4">
        <v>42782</v>
      </c>
      <c r="AU1755" t="s">
        <v>73</v>
      </c>
      <c r="AV1755">
        <v>470</v>
      </c>
      <c r="AW1755" s="4">
        <v>42782</v>
      </c>
      <c r="BD1755">
        <v>0</v>
      </c>
      <c r="BN1755" t="s">
        <v>74</v>
      </c>
    </row>
    <row r="1756" spans="1:66">
      <c r="A1756">
        <v>104093</v>
      </c>
      <c r="B1756" t="s">
        <v>379</v>
      </c>
      <c r="C1756" s="1">
        <v>43300101</v>
      </c>
      <c r="D1756" t="s">
        <v>67</v>
      </c>
      <c r="H1756" t="str">
        <f t="shared" si="224"/>
        <v>12572900152</v>
      </c>
      <c r="I1756" t="str">
        <f t="shared" si="225"/>
        <v>06032681006</v>
      </c>
      <c r="K1756" t="str">
        <f>""</f>
        <v/>
      </c>
      <c r="M1756" t="s">
        <v>68</v>
      </c>
      <c r="N1756" t="str">
        <f t="shared" si="221"/>
        <v>FOR</v>
      </c>
      <c r="O1756" t="s">
        <v>69</v>
      </c>
      <c r="P1756" t="s">
        <v>75</v>
      </c>
      <c r="Q1756">
        <v>2016</v>
      </c>
      <c r="R1756" s="4">
        <v>42474</v>
      </c>
      <c r="S1756" s="2">
        <v>42478</v>
      </c>
      <c r="T1756" s="2">
        <v>42477</v>
      </c>
      <c r="U1756" s="4">
        <v>42537</v>
      </c>
      <c r="V1756" t="s">
        <v>71</v>
      </c>
      <c r="W1756" t="str">
        <f>"            25309152"</f>
        <v xml:space="preserve">            25309152</v>
      </c>
      <c r="X1756">
        <v>74.88</v>
      </c>
      <c r="Y1756">
        <v>0</v>
      </c>
      <c r="Z1756" s="5">
        <v>72</v>
      </c>
      <c r="AA1756" s="3">
        <v>245</v>
      </c>
      <c r="AB1756" s="5">
        <v>17640</v>
      </c>
      <c r="AC1756">
        <v>72</v>
      </c>
      <c r="AD1756">
        <v>245</v>
      </c>
      <c r="AE1756" s="1">
        <v>17640</v>
      </c>
      <c r="AF1756">
        <v>0</v>
      </c>
      <c r="AJ1756">
        <v>0</v>
      </c>
      <c r="AK1756">
        <v>0</v>
      </c>
      <c r="AL1756">
        <v>0</v>
      </c>
      <c r="AM1756">
        <v>0</v>
      </c>
      <c r="AN1756">
        <v>0</v>
      </c>
      <c r="AO1756">
        <v>0</v>
      </c>
      <c r="AP1756" s="2">
        <v>42831</v>
      </c>
      <c r="AQ1756" t="s">
        <v>72</v>
      </c>
      <c r="AR1756" t="s">
        <v>72</v>
      </c>
      <c r="AS1756">
        <v>470</v>
      </c>
      <c r="AT1756" s="4">
        <v>42782</v>
      </c>
      <c r="AU1756" t="s">
        <v>73</v>
      </c>
      <c r="AV1756">
        <v>470</v>
      </c>
      <c r="AW1756" s="4">
        <v>42782</v>
      </c>
      <c r="BD1756">
        <v>0</v>
      </c>
      <c r="BN1756" t="s">
        <v>74</v>
      </c>
    </row>
    <row r="1757" spans="1:66">
      <c r="A1757">
        <v>104093</v>
      </c>
      <c r="B1757" t="s">
        <v>379</v>
      </c>
      <c r="C1757" s="1">
        <v>43300101</v>
      </c>
      <c r="D1757" t="s">
        <v>67</v>
      </c>
      <c r="H1757" t="str">
        <f t="shared" si="224"/>
        <v>12572900152</v>
      </c>
      <c r="I1757" t="str">
        <f t="shared" si="225"/>
        <v>06032681006</v>
      </c>
      <c r="K1757" t="str">
        <f>""</f>
        <v/>
      </c>
      <c r="M1757" t="s">
        <v>68</v>
      </c>
      <c r="N1757" t="str">
        <f t="shared" si="221"/>
        <v>FOR</v>
      </c>
      <c r="O1757" t="s">
        <v>69</v>
      </c>
      <c r="P1757" t="s">
        <v>75</v>
      </c>
      <c r="Q1757">
        <v>2016</v>
      </c>
      <c r="R1757" s="4">
        <v>42474</v>
      </c>
      <c r="S1757" s="2">
        <v>42502</v>
      </c>
      <c r="T1757" s="2">
        <v>42477</v>
      </c>
      <c r="U1757" s="4">
        <v>42537</v>
      </c>
      <c r="V1757" t="s">
        <v>71</v>
      </c>
      <c r="W1757" t="str">
        <f>"            25309225"</f>
        <v xml:space="preserve">            25309225</v>
      </c>
      <c r="X1757">
        <v>504.35</v>
      </c>
      <c r="Y1757">
        <v>0</v>
      </c>
      <c r="Z1757" s="5">
        <v>413.4</v>
      </c>
      <c r="AA1757" s="3">
        <v>245</v>
      </c>
      <c r="AB1757" s="5">
        <v>101283</v>
      </c>
      <c r="AC1757">
        <v>413.4</v>
      </c>
      <c r="AD1757">
        <v>245</v>
      </c>
      <c r="AE1757" s="1">
        <v>101283</v>
      </c>
      <c r="AF1757">
        <v>0</v>
      </c>
      <c r="AJ1757">
        <v>0</v>
      </c>
      <c r="AK1757">
        <v>0</v>
      </c>
      <c r="AL1757">
        <v>0</v>
      </c>
      <c r="AM1757">
        <v>0</v>
      </c>
      <c r="AN1757">
        <v>0</v>
      </c>
      <c r="AO1757">
        <v>0</v>
      </c>
      <c r="AP1757" s="2">
        <v>42831</v>
      </c>
      <c r="AQ1757" t="s">
        <v>72</v>
      </c>
      <c r="AR1757" t="s">
        <v>72</v>
      </c>
      <c r="AS1757">
        <v>470</v>
      </c>
      <c r="AT1757" s="4">
        <v>42782</v>
      </c>
      <c r="AU1757" t="s">
        <v>73</v>
      </c>
      <c r="AV1757">
        <v>470</v>
      </c>
      <c r="AW1757" s="4">
        <v>42782</v>
      </c>
      <c r="BD1757">
        <v>0</v>
      </c>
      <c r="BN1757" t="s">
        <v>74</v>
      </c>
    </row>
    <row r="1758" spans="1:66">
      <c r="A1758">
        <v>104093</v>
      </c>
      <c r="B1758" t="s">
        <v>379</v>
      </c>
      <c r="C1758" s="1">
        <v>43300101</v>
      </c>
      <c r="D1758" t="s">
        <v>67</v>
      </c>
      <c r="H1758" t="str">
        <f t="shared" si="224"/>
        <v>12572900152</v>
      </c>
      <c r="I1758" t="str">
        <f t="shared" si="225"/>
        <v>06032681006</v>
      </c>
      <c r="K1758" t="str">
        <f>""</f>
        <v/>
      </c>
      <c r="M1758" t="s">
        <v>68</v>
      </c>
      <c r="N1758" t="str">
        <f t="shared" si="221"/>
        <v>FOR</v>
      </c>
      <c r="O1758" t="s">
        <v>69</v>
      </c>
      <c r="P1758" t="s">
        <v>75</v>
      </c>
      <c r="Q1758">
        <v>2016</v>
      </c>
      <c r="R1758" s="4">
        <v>42475</v>
      </c>
      <c r="S1758" s="2">
        <v>42481</v>
      </c>
      <c r="T1758" s="2">
        <v>42478</v>
      </c>
      <c r="U1758" s="4">
        <v>42538</v>
      </c>
      <c r="V1758" t="s">
        <v>71</v>
      </c>
      <c r="W1758" t="str">
        <f>"            25309328"</f>
        <v xml:space="preserve">            25309328</v>
      </c>
      <c r="X1758">
        <v>74.88</v>
      </c>
      <c r="Y1758">
        <v>0</v>
      </c>
      <c r="Z1758" s="5">
        <v>72</v>
      </c>
      <c r="AA1758" s="3">
        <v>244</v>
      </c>
      <c r="AB1758" s="5">
        <v>17568</v>
      </c>
      <c r="AC1758">
        <v>72</v>
      </c>
      <c r="AD1758">
        <v>244</v>
      </c>
      <c r="AE1758" s="1">
        <v>17568</v>
      </c>
      <c r="AF1758">
        <v>0</v>
      </c>
      <c r="AJ1758">
        <v>0</v>
      </c>
      <c r="AK1758">
        <v>0</v>
      </c>
      <c r="AL1758">
        <v>0</v>
      </c>
      <c r="AM1758">
        <v>0</v>
      </c>
      <c r="AN1758">
        <v>0</v>
      </c>
      <c r="AO1758">
        <v>0</v>
      </c>
      <c r="AP1758" s="2">
        <v>42831</v>
      </c>
      <c r="AQ1758" t="s">
        <v>72</v>
      </c>
      <c r="AR1758" t="s">
        <v>72</v>
      </c>
      <c r="AS1758">
        <v>470</v>
      </c>
      <c r="AT1758" s="4">
        <v>42782</v>
      </c>
      <c r="AU1758" t="s">
        <v>73</v>
      </c>
      <c r="AV1758">
        <v>470</v>
      </c>
      <c r="AW1758" s="4">
        <v>42782</v>
      </c>
      <c r="BD1758">
        <v>0</v>
      </c>
      <c r="BN1758" t="s">
        <v>74</v>
      </c>
    </row>
    <row r="1759" spans="1:66">
      <c r="A1759">
        <v>104093</v>
      </c>
      <c r="B1759" t="s">
        <v>379</v>
      </c>
      <c r="C1759" s="1">
        <v>43300101</v>
      </c>
      <c r="D1759" t="s">
        <v>67</v>
      </c>
      <c r="H1759" t="str">
        <f t="shared" si="224"/>
        <v>12572900152</v>
      </c>
      <c r="I1759" t="str">
        <f t="shared" si="225"/>
        <v>06032681006</v>
      </c>
      <c r="K1759" t="str">
        <f>""</f>
        <v/>
      </c>
      <c r="M1759" t="s">
        <v>68</v>
      </c>
      <c r="N1759" t="str">
        <f t="shared" si="221"/>
        <v>FOR</v>
      </c>
      <c r="O1759" t="s">
        <v>69</v>
      </c>
      <c r="P1759" t="s">
        <v>75</v>
      </c>
      <c r="Q1759">
        <v>2016</v>
      </c>
      <c r="R1759" s="4">
        <v>42475</v>
      </c>
      <c r="S1759" s="2">
        <v>42478</v>
      </c>
      <c r="T1759" s="2">
        <v>42477</v>
      </c>
      <c r="U1759" s="4">
        <v>42537</v>
      </c>
      <c r="V1759" t="s">
        <v>71</v>
      </c>
      <c r="W1759" t="str">
        <f>"            25309330"</f>
        <v xml:space="preserve">            25309330</v>
      </c>
      <c r="X1759">
        <v>252.72</v>
      </c>
      <c r="Y1759">
        <v>0</v>
      </c>
      <c r="Z1759" s="5">
        <v>243</v>
      </c>
      <c r="AA1759" s="3">
        <v>245</v>
      </c>
      <c r="AB1759" s="5">
        <v>59535</v>
      </c>
      <c r="AC1759">
        <v>243</v>
      </c>
      <c r="AD1759">
        <v>245</v>
      </c>
      <c r="AE1759" s="1">
        <v>59535</v>
      </c>
      <c r="AF1759">
        <v>0</v>
      </c>
      <c r="AJ1759">
        <v>0</v>
      </c>
      <c r="AK1759">
        <v>0</v>
      </c>
      <c r="AL1759">
        <v>0</v>
      </c>
      <c r="AM1759">
        <v>0</v>
      </c>
      <c r="AN1759">
        <v>0</v>
      </c>
      <c r="AO1759">
        <v>0</v>
      </c>
      <c r="AP1759" s="2">
        <v>42831</v>
      </c>
      <c r="AQ1759" t="s">
        <v>72</v>
      </c>
      <c r="AR1759" t="s">
        <v>72</v>
      </c>
      <c r="AS1759">
        <v>470</v>
      </c>
      <c r="AT1759" s="4">
        <v>42782</v>
      </c>
      <c r="AU1759" t="s">
        <v>73</v>
      </c>
      <c r="AV1759">
        <v>470</v>
      </c>
      <c r="AW1759" s="4">
        <v>42782</v>
      </c>
      <c r="BD1759">
        <v>0</v>
      </c>
      <c r="BN1759" t="s">
        <v>74</v>
      </c>
    </row>
    <row r="1760" spans="1:66">
      <c r="A1760">
        <v>104093</v>
      </c>
      <c r="B1760" t="s">
        <v>379</v>
      </c>
      <c r="C1760" s="1">
        <v>43300101</v>
      </c>
      <c r="D1760" t="s">
        <v>67</v>
      </c>
      <c r="H1760" t="str">
        <f t="shared" si="224"/>
        <v>12572900152</v>
      </c>
      <c r="I1760" t="str">
        <f t="shared" si="225"/>
        <v>06032681006</v>
      </c>
      <c r="K1760" t="str">
        <f>""</f>
        <v/>
      </c>
      <c r="M1760" t="s">
        <v>68</v>
      </c>
      <c r="N1760" t="str">
        <f t="shared" si="221"/>
        <v>FOR</v>
      </c>
      <c r="O1760" t="s">
        <v>69</v>
      </c>
      <c r="P1760" t="s">
        <v>75</v>
      </c>
      <c r="Q1760">
        <v>2016</v>
      </c>
      <c r="R1760" s="4">
        <v>42475</v>
      </c>
      <c r="S1760" s="2">
        <v>42478</v>
      </c>
      <c r="T1760" s="2">
        <v>42477</v>
      </c>
      <c r="U1760" s="4">
        <v>42537</v>
      </c>
      <c r="V1760" t="s">
        <v>71</v>
      </c>
      <c r="W1760" t="str">
        <f>"            25309335"</f>
        <v xml:space="preserve">            25309335</v>
      </c>
      <c r="X1760">
        <v>707.62</v>
      </c>
      <c r="Y1760">
        <v>0</v>
      </c>
      <c r="Z1760" s="5">
        <v>680.4</v>
      </c>
      <c r="AA1760" s="3">
        <v>245</v>
      </c>
      <c r="AB1760" s="5">
        <v>166698</v>
      </c>
      <c r="AC1760">
        <v>680.4</v>
      </c>
      <c r="AD1760">
        <v>245</v>
      </c>
      <c r="AE1760" s="1">
        <v>166698</v>
      </c>
      <c r="AF1760">
        <v>0</v>
      </c>
      <c r="AJ1760">
        <v>0</v>
      </c>
      <c r="AK1760">
        <v>0</v>
      </c>
      <c r="AL1760">
        <v>0</v>
      </c>
      <c r="AM1760">
        <v>0</v>
      </c>
      <c r="AN1760">
        <v>0</v>
      </c>
      <c r="AO1760">
        <v>0</v>
      </c>
      <c r="AP1760" s="2">
        <v>42831</v>
      </c>
      <c r="AQ1760" t="s">
        <v>72</v>
      </c>
      <c r="AR1760" t="s">
        <v>72</v>
      </c>
      <c r="AS1760">
        <v>470</v>
      </c>
      <c r="AT1760" s="4">
        <v>42782</v>
      </c>
      <c r="AU1760" t="s">
        <v>73</v>
      </c>
      <c r="AV1760">
        <v>470</v>
      </c>
      <c r="AW1760" s="4">
        <v>42782</v>
      </c>
      <c r="BD1760">
        <v>0</v>
      </c>
      <c r="BN1760" t="s">
        <v>74</v>
      </c>
    </row>
    <row r="1761" spans="1:66">
      <c r="A1761">
        <v>104093</v>
      </c>
      <c r="B1761" t="s">
        <v>379</v>
      </c>
      <c r="C1761" s="1">
        <v>43300101</v>
      </c>
      <c r="D1761" t="s">
        <v>67</v>
      </c>
      <c r="H1761" t="str">
        <f t="shared" si="224"/>
        <v>12572900152</v>
      </c>
      <c r="I1761" t="str">
        <f t="shared" si="225"/>
        <v>06032681006</v>
      </c>
      <c r="K1761" t="str">
        <f>""</f>
        <v/>
      </c>
      <c r="M1761" t="s">
        <v>68</v>
      </c>
      <c r="N1761" t="str">
        <f t="shared" si="221"/>
        <v>FOR</v>
      </c>
      <c r="O1761" t="s">
        <v>69</v>
      </c>
      <c r="P1761" t="s">
        <v>75</v>
      </c>
      <c r="Q1761">
        <v>2016</v>
      </c>
      <c r="R1761" s="4">
        <v>42475</v>
      </c>
      <c r="S1761" s="2">
        <v>42478</v>
      </c>
      <c r="T1761" s="2">
        <v>42477</v>
      </c>
      <c r="U1761" s="4">
        <v>42537</v>
      </c>
      <c r="V1761" t="s">
        <v>71</v>
      </c>
      <c r="W1761" t="str">
        <f>"            25309338"</f>
        <v xml:space="preserve">            25309338</v>
      </c>
      <c r="X1761">
        <v>74.88</v>
      </c>
      <c r="Y1761">
        <v>0</v>
      </c>
      <c r="Z1761" s="5">
        <v>72</v>
      </c>
      <c r="AA1761" s="3">
        <v>245</v>
      </c>
      <c r="AB1761" s="5">
        <v>17640</v>
      </c>
      <c r="AC1761">
        <v>72</v>
      </c>
      <c r="AD1761">
        <v>245</v>
      </c>
      <c r="AE1761" s="1">
        <v>17640</v>
      </c>
      <c r="AF1761">
        <v>0</v>
      </c>
      <c r="AJ1761">
        <v>0</v>
      </c>
      <c r="AK1761">
        <v>0</v>
      </c>
      <c r="AL1761">
        <v>0</v>
      </c>
      <c r="AM1761">
        <v>0</v>
      </c>
      <c r="AN1761">
        <v>0</v>
      </c>
      <c r="AO1761">
        <v>0</v>
      </c>
      <c r="AP1761" s="2">
        <v>42831</v>
      </c>
      <c r="AQ1761" t="s">
        <v>72</v>
      </c>
      <c r="AR1761" t="s">
        <v>72</v>
      </c>
      <c r="AS1761">
        <v>470</v>
      </c>
      <c r="AT1761" s="4">
        <v>42782</v>
      </c>
      <c r="AU1761" t="s">
        <v>73</v>
      </c>
      <c r="AV1761">
        <v>470</v>
      </c>
      <c r="AW1761" s="4">
        <v>42782</v>
      </c>
      <c r="BD1761">
        <v>0</v>
      </c>
      <c r="BN1761" t="s">
        <v>74</v>
      </c>
    </row>
    <row r="1762" spans="1:66">
      <c r="A1762">
        <v>104093</v>
      </c>
      <c r="B1762" t="s">
        <v>379</v>
      </c>
      <c r="C1762" s="1">
        <v>43300101</v>
      </c>
      <c r="D1762" t="s">
        <v>67</v>
      </c>
      <c r="H1762" t="str">
        <f t="shared" si="224"/>
        <v>12572900152</v>
      </c>
      <c r="I1762" t="str">
        <f t="shared" si="225"/>
        <v>06032681006</v>
      </c>
      <c r="K1762" t="str">
        <f>""</f>
        <v/>
      </c>
      <c r="M1762" t="s">
        <v>68</v>
      </c>
      <c r="N1762" t="str">
        <f t="shared" si="221"/>
        <v>FOR</v>
      </c>
      <c r="O1762" t="s">
        <v>69</v>
      </c>
      <c r="P1762" t="s">
        <v>75</v>
      </c>
      <c r="Q1762">
        <v>2016</v>
      </c>
      <c r="R1762" s="4">
        <v>42479</v>
      </c>
      <c r="S1762" s="2">
        <v>42481</v>
      </c>
      <c r="T1762" s="2">
        <v>42480</v>
      </c>
      <c r="U1762" s="4">
        <v>42540</v>
      </c>
      <c r="V1762" t="s">
        <v>71</v>
      </c>
      <c r="W1762" t="str">
        <f>"            25309964"</f>
        <v xml:space="preserve">            25309964</v>
      </c>
      <c r="X1762">
        <v>790.56</v>
      </c>
      <c r="Y1762">
        <v>0</v>
      </c>
      <c r="Z1762" s="5">
        <v>648</v>
      </c>
      <c r="AA1762" s="3">
        <v>242</v>
      </c>
      <c r="AB1762" s="5">
        <v>156816</v>
      </c>
      <c r="AC1762">
        <v>648</v>
      </c>
      <c r="AD1762">
        <v>242</v>
      </c>
      <c r="AE1762" s="1">
        <v>156816</v>
      </c>
      <c r="AF1762">
        <v>0</v>
      </c>
      <c r="AJ1762">
        <v>0</v>
      </c>
      <c r="AK1762">
        <v>0</v>
      </c>
      <c r="AL1762">
        <v>0</v>
      </c>
      <c r="AM1762">
        <v>0</v>
      </c>
      <c r="AN1762">
        <v>0</v>
      </c>
      <c r="AO1762">
        <v>0</v>
      </c>
      <c r="AP1762" s="2">
        <v>42831</v>
      </c>
      <c r="AQ1762" t="s">
        <v>72</v>
      </c>
      <c r="AR1762" t="s">
        <v>72</v>
      </c>
      <c r="AS1762">
        <v>470</v>
      </c>
      <c r="AT1762" s="4">
        <v>42782</v>
      </c>
      <c r="AU1762" t="s">
        <v>73</v>
      </c>
      <c r="AV1762">
        <v>470</v>
      </c>
      <c r="AW1762" s="4">
        <v>42782</v>
      </c>
      <c r="BD1762">
        <v>0</v>
      </c>
      <c r="BN1762" t="s">
        <v>74</v>
      </c>
    </row>
    <row r="1763" spans="1:66">
      <c r="A1763">
        <v>104093</v>
      </c>
      <c r="B1763" t="s">
        <v>379</v>
      </c>
      <c r="C1763" s="1">
        <v>43300101</v>
      </c>
      <c r="D1763" t="s">
        <v>67</v>
      </c>
      <c r="H1763" t="str">
        <f t="shared" si="224"/>
        <v>12572900152</v>
      </c>
      <c r="I1763" t="str">
        <f t="shared" si="225"/>
        <v>06032681006</v>
      </c>
      <c r="K1763" t="str">
        <f>""</f>
        <v/>
      </c>
      <c r="M1763" t="s">
        <v>68</v>
      </c>
      <c r="N1763" t="str">
        <f t="shared" si="221"/>
        <v>FOR</v>
      </c>
      <c r="O1763" t="s">
        <v>69</v>
      </c>
      <c r="P1763" t="s">
        <v>75</v>
      </c>
      <c r="Q1763">
        <v>2016</v>
      </c>
      <c r="R1763" s="4">
        <v>42480</v>
      </c>
      <c r="S1763" s="2">
        <v>42482</v>
      </c>
      <c r="T1763" s="2">
        <v>42481</v>
      </c>
      <c r="U1763" s="4">
        <v>42541</v>
      </c>
      <c r="V1763" t="s">
        <v>71</v>
      </c>
      <c r="W1763" t="str">
        <f>"            25310199"</f>
        <v xml:space="preserve">            25310199</v>
      </c>
      <c r="X1763">
        <v>74.88</v>
      </c>
      <c r="Y1763">
        <v>0</v>
      </c>
      <c r="Z1763" s="5">
        <v>72</v>
      </c>
      <c r="AA1763" s="3">
        <v>241</v>
      </c>
      <c r="AB1763" s="5">
        <v>17352</v>
      </c>
      <c r="AC1763">
        <v>72</v>
      </c>
      <c r="AD1763">
        <v>241</v>
      </c>
      <c r="AE1763" s="1">
        <v>17352</v>
      </c>
      <c r="AF1763">
        <v>0</v>
      </c>
      <c r="AJ1763">
        <v>0</v>
      </c>
      <c r="AK1763">
        <v>0</v>
      </c>
      <c r="AL1763">
        <v>0</v>
      </c>
      <c r="AM1763">
        <v>0</v>
      </c>
      <c r="AN1763">
        <v>0</v>
      </c>
      <c r="AO1763">
        <v>0</v>
      </c>
      <c r="AP1763" s="2">
        <v>42831</v>
      </c>
      <c r="AQ1763" t="s">
        <v>72</v>
      </c>
      <c r="AR1763" t="s">
        <v>72</v>
      </c>
      <c r="AS1763">
        <v>470</v>
      </c>
      <c r="AT1763" s="4">
        <v>42782</v>
      </c>
      <c r="AU1763" t="s">
        <v>73</v>
      </c>
      <c r="AV1763">
        <v>470</v>
      </c>
      <c r="AW1763" s="4">
        <v>42782</v>
      </c>
      <c r="BD1763">
        <v>0</v>
      </c>
      <c r="BN1763" t="s">
        <v>74</v>
      </c>
    </row>
    <row r="1764" spans="1:66">
      <c r="A1764">
        <v>104093</v>
      </c>
      <c r="B1764" t="s">
        <v>379</v>
      </c>
      <c r="C1764" s="1">
        <v>43300101</v>
      </c>
      <c r="D1764" t="s">
        <v>67</v>
      </c>
      <c r="H1764" t="str">
        <f t="shared" si="224"/>
        <v>12572900152</v>
      </c>
      <c r="I1764" t="str">
        <f t="shared" si="225"/>
        <v>06032681006</v>
      </c>
      <c r="K1764" t="str">
        <f>""</f>
        <v/>
      </c>
      <c r="M1764" t="s">
        <v>68</v>
      </c>
      <c r="N1764" t="str">
        <f t="shared" si="221"/>
        <v>FOR</v>
      </c>
      <c r="O1764" t="s">
        <v>69</v>
      </c>
      <c r="P1764" t="s">
        <v>75</v>
      </c>
      <c r="Q1764">
        <v>2016</v>
      </c>
      <c r="R1764" s="4">
        <v>42480</v>
      </c>
      <c r="S1764" s="2">
        <v>42482</v>
      </c>
      <c r="T1764" s="2">
        <v>42481</v>
      </c>
      <c r="U1764" s="4">
        <v>42541</v>
      </c>
      <c r="V1764" t="s">
        <v>71</v>
      </c>
      <c r="W1764" t="str">
        <f>"            25310200"</f>
        <v xml:space="preserve">            25310200</v>
      </c>
      <c r="X1764">
        <v>403.42</v>
      </c>
      <c r="Y1764">
        <v>0</v>
      </c>
      <c r="Z1764" s="5">
        <v>387.9</v>
      </c>
      <c r="AA1764" s="3">
        <v>241</v>
      </c>
      <c r="AB1764" s="5">
        <v>93483.9</v>
      </c>
      <c r="AC1764">
        <v>387.9</v>
      </c>
      <c r="AD1764">
        <v>241</v>
      </c>
      <c r="AE1764" s="1">
        <v>93483.9</v>
      </c>
      <c r="AF1764">
        <v>0</v>
      </c>
      <c r="AJ1764">
        <v>0</v>
      </c>
      <c r="AK1764">
        <v>0</v>
      </c>
      <c r="AL1764">
        <v>0</v>
      </c>
      <c r="AM1764">
        <v>0</v>
      </c>
      <c r="AN1764">
        <v>0</v>
      </c>
      <c r="AO1764">
        <v>0</v>
      </c>
      <c r="AP1764" s="2">
        <v>42831</v>
      </c>
      <c r="AQ1764" t="s">
        <v>72</v>
      </c>
      <c r="AR1764" t="s">
        <v>72</v>
      </c>
      <c r="AS1764">
        <v>470</v>
      </c>
      <c r="AT1764" s="4">
        <v>42782</v>
      </c>
      <c r="AU1764" t="s">
        <v>73</v>
      </c>
      <c r="AV1764">
        <v>470</v>
      </c>
      <c r="AW1764" s="4">
        <v>42782</v>
      </c>
      <c r="BD1764">
        <v>0</v>
      </c>
      <c r="BN1764" t="s">
        <v>74</v>
      </c>
    </row>
    <row r="1765" spans="1:66">
      <c r="A1765">
        <v>104093</v>
      </c>
      <c r="B1765" t="s">
        <v>379</v>
      </c>
      <c r="C1765" s="1">
        <v>43300101</v>
      </c>
      <c r="D1765" t="s">
        <v>67</v>
      </c>
      <c r="H1765" t="str">
        <f t="shared" si="224"/>
        <v>12572900152</v>
      </c>
      <c r="I1765" t="str">
        <f t="shared" si="225"/>
        <v>06032681006</v>
      </c>
      <c r="K1765" t="str">
        <f>""</f>
        <v/>
      </c>
      <c r="M1765" t="s">
        <v>68</v>
      </c>
      <c r="N1765" t="str">
        <f t="shared" si="221"/>
        <v>FOR</v>
      </c>
      <c r="O1765" t="s">
        <v>69</v>
      </c>
      <c r="P1765" t="s">
        <v>75</v>
      </c>
      <c r="Q1765">
        <v>2016</v>
      </c>
      <c r="R1765" s="4">
        <v>42480</v>
      </c>
      <c r="S1765" s="2">
        <v>42482</v>
      </c>
      <c r="T1765" s="2">
        <v>42481</v>
      </c>
      <c r="U1765" s="4">
        <v>42541</v>
      </c>
      <c r="V1765" t="s">
        <v>71</v>
      </c>
      <c r="W1765" t="str">
        <f>"            25310201"</f>
        <v xml:space="preserve">            25310201</v>
      </c>
      <c r="X1765">
        <v>74.88</v>
      </c>
      <c r="Y1765">
        <v>0</v>
      </c>
      <c r="Z1765" s="5">
        <v>72</v>
      </c>
      <c r="AA1765" s="3">
        <v>241</v>
      </c>
      <c r="AB1765" s="5">
        <v>17352</v>
      </c>
      <c r="AC1765">
        <v>72</v>
      </c>
      <c r="AD1765">
        <v>241</v>
      </c>
      <c r="AE1765" s="1">
        <v>17352</v>
      </c>
      <c r="AF1765">
        <v>0</v>
      </c>
      <c r="AJ1765">
        <v>0</v>
      </c>
      <c r="AK1765">
        <v>0</v>
      </c>
      <c r="AL1765">
        <v>0</v>
      </c>
      <c r="AM1765">
        <v>0</v>
      </c>
      <c r="AN1765">
        <v>0</v>
      </c>
      <c r="AO1765">
        <v>0</v>
      </c>
      <c r="AP1765" s="2">
        <v>42831</v>
      </c>
      <c r="AQ1765" t="s">
        <v>72</v>
      </c>
      <c r="AR1765" t="s">
        <v>72</v>
      </c>
      <c r="AS1765">
        <v>470</v>
      </c>
      <c r="AT1765" s="4">
        <v>42782</v>
      </c>
      <c r="AU1765" t="s">
        <v>73</v>
      </c>
      <c r="AV1765">
        <v>470</v>
      </c>
      <c r="AW1765" s="4">
        <v>42782</v>
      </c>
      <c r="BD1765">
        <v>0</v>
      </c>
      <c r="BN1765" t="s">
        <v>74</v>
      </c>
    </row>
    <row r="1766" spans="1:66">
      <c r="A1766">
        <v>104093</v>
      </c>
      <c r="B1766" t="s">
        <v>379</v>
      </c>
      <c r="C1766" s="1">
        <v>43300101</v>
      </c>
      <c r="D1766" t="s">
        <v>67</v>
      </c>
      <c r="H1766" t="str">
        <f t="shared" si="224"/>
        <v>12572900152</v>
      </c>
      <c r="I1766" t="str">
        <f t="shared" si="225"/>
        <v>06032681006</v>
      </c>
      <c r="K1766" t="str">
        <f>""</f>
        <v/>
      </c>
      <c r="M1766" t="s">
        <v>68</v>
      </c>
      <c r="N1766" t="str">
        <f t="shared" si="221"/>
        <v>FOR</v>
      </c>
      <c r="O1766" t="s">
        <v>69</v>
      </c>
      <c r="P1766" t="s">
        <v>75</v>
      </c>
      <c r="Q1766">
        <v>2016</v>
      </c>
      <c r="R1766" s="4">
        <v>42480</v>
      </c>
      <c r="S1766" s="2">
        <v>42482</v>
      </c>
      <c r="T1766" s="2">
        <v>42481</v>
      </c>
      <c r="U1766" s="4">
        <v>42541</v>
      </c>
      <c r="V1766" t="s">
        <v>71</v>
      </c>
      <c r="W1766" t="str">
        <f>"            25310267"</f>
        <v xml:space="preserve">            25310267</v>
      </c>
      <c r="X1766">
        <v>74.88</v>
      </c>
      <c r="Y1766">
        <v>0</v>
      </c>
      <c r="Z1766" s="5">
        <v>72</v>
      </c>
      <c r="AA1766" s="3">
        <v>241</v>
      </c>
      <c r="AB1766" s="5">
        <v>17352</v>
      </c>
      <c r="AC1766">
        <v>72</v>
      </c>
      <c r="AD1766">
        <v>241</v>
      </c>
      <c r="AE1766" s="1">
        <v>17352</v>
      </c>
      <c r="AF1766">
        <v>0</v>
      </c>
      <c r="AJ1766">
        <v>0</v>
      </c>
      <c r="AK1766">
        <v>0</v>
      </c>
      <c r="AL1766">
        <v>0</v>
      </c>
      <c r="AM1766">
        <v>0</v>
      </c>
      <c r="AN1766">
        <v>0</v>
      </c>
      <c r="AO1766">
        <v>0</v>
      </c>
      <c r="AP1766" s="2">
        <v>42831</v>
      </c>
      <c r="AQ1766" t="s">
        <v>72</v>
      </c>
      <c r="AR1766" t="s">
        <v>72</v>
      </c>
      <c r="AS1766">
        <v>470</v>
      </c>
      <c r="AT1766" s="4">
        <v>42782</v>
      </c>
      <c r="AU1766" t="s">
        <v>73</v>
      </c>
      <c r="AV1766">
        <v>470</v>
      </c>
      <c r="AW1766" s="4">
        <v>42782</v>
      </c>
      <c r="BD1766">
        <v>0</v>
      </c>
      <c r="BN1766" t="s">
        <v>74</v>
      </c>
    </row>
    <row r="1767" spans="1:66">
      <c r="A1767">
        <v>104093</v>
      </c>
      <c r="B1767" t="s">
        <v>379</v>
      </c>
      <c r="C1767" s="1">
        <v>43300101</v>
      </c>
      <c r="D1767" t="s">
        <v>67</v>
      </c>
      <c r="H1767" t="str">
        <f t="shared" si="224"/>
        <v>12572900152</v>
      </c>
      <c r="I1767" t="str">
        <f t="shared" si="225"/>
        <v>06032681006</v>
      </c>
      <c r="K1767" t="str">
        <f>""</f>
        <v/>
      </c>
      <c r="M1767" t="s">
        <v>68</v>
      </c>
      <c r="N1767" t="str">
        <f t="shared" si="221"/>
        <v>FOR</v>
      </c>
      <c r="O1767" t="s">
        <v>69</v>
      </c>
      <c r="P1767" t="s">
        <v>75</v>
      </c>
      <c r="Q1767">
        <v>2016</v>
      </c>
      <c r="R1767" s="4">
        <v>42480</v>
      </c>
      <c r="S1767" s="2">
        <v>42482</v>
      </c>
      <c r="T1767" s="2">
        <v>42481</v>
      </c>
      <c r="U1767" s="4">
        <v>42541</v>
      </c>
      <c r="V1767" t="s">
        <v>71</v>
      </c>
      <c r="W1767" t="str">
        <f>"            25310269"</f>
        <v xml:space="preserve">            25310269</v>
      </c>
      <c r="X1767">
        <v>74.88</v>
      </c>
      <c r="Y1767">
        <v>0</v>
      </c>
      <c r="Z1767" s="5">
        <v>72</v>
      </c>
      <c r="AA1767" s="3">
        <v>241</v>
      </c>
      <c r="AB1767" s="5">
        <v>17352</v>
      </c>
      <c r="AC1767">
        <v>72</v>
      </c>
      <c r="AD1767">
        <v>241</v>
      </c>
      <c r="AE1767" s="1">
        <v>17352</v>
      </c>
      <c r="AF1767">
        <v>0</v>
      </c>
      <c r="AJ1767">
        <v>0</v>
      </c>
      <c r="AK1767">
        <v>0</v>
      </c>
      <c r="AL1767">
        <v>0</v>
      </c>
      <c r="AM1767">
        <v>0</v>
      </c>
      <c r="AN1767">
        <v>0</v>
      </c>
      <c r="AO1767">
        <v>0</v>
      </c>
      <c r="AP1767" s="2">
        <v>42831</v>
      </c>
      <c r="AQ1767" t="s">
        <v>72</v>
      </c>
      <c r="AR1767" t="s">
        <v>72</v>
      </c>
      <c r="AS1767">
        <v>470</v>
      </c>
      <c r="AT1767" s="4">
        <v>42782</v>
      </c>
      <c r="AU1767" t="s">
        <v>73</v>
      </c>
      <c r="AV1767">
        <v>470</v>
      </c>
      <c r="AW1767" s="4">
        <v>42782</v>
      </c>
      <c r="BD1767">
        <v>0</v>
      </c>
      <c r="BN1767" t="s">
        <v>74</v>
      </c>
    </row>
    <row r="1768" spans="1:66">
      <c r="A1768">
        <v>104093</v>
      </c>
      <c r="B1768" t="s">
        <v>379</v>
      </c>
      <c r="C1768" s="1">
        <v>43300101</v>
      </c>
      <c r="D1768" t="s">
        <v>67</v>
      </c>
      <c r="H1768" t="str">
        <f t="shared" si="224"/>
        <v>12572900152</v>
      </c>
      <c r="I1768" t="str">
        <f t="shared" si="225"/>
        <v>06032681006</v>
      </c>
      <c r="K1768" t="str">
        <f>""</f>
        <v/>
      </c>
      <c r="M1768" t="s">
        <v>68</v>
      </c>
      <c r="N1768" t="str">
        <f t="shared" si="221"/>
        <v>FOR</v>
      </c>
      <c r="O1768" t="s">
        <v>69</v>
      </c>
      <c r="P1768" t="s">
        <v>75</v>
      </c>
      <c r="Q1768">
        <v>2016</v>
      </c>
      <c r="R1768" s="4">
        <v>42480</v>
      </c>
      <c r="S1768" s="2">
        <v>42486</v>
      </c>
      <c r="T1768" s="2">
        <v>42481</v>
      </c>
      <c r="U1768" s="4">
        <v>42541</v>
      </c>
      <c r="V1768" t="s">
        <v>71</v>
      </c>
      <c r="W1768" t="str">
        <f>"            25310304"</f>
        <v xml:space="preserve">            25310304</v>
      </c>
      <c r="X1768" s="1">
        <v>4916.6000000000004</v>
      </c>
      <c r="Y1768">
        <v>0</v>
      </c>
      <c r="Z1768" s="5">
        <v>4030</v>
      </c>
      <c r="AA1768" s="3">
        <v>241</v>
      </c>
      <c r="AB1768" s="5">
        <v>971230</v>
      </c>
      <c r="AC1768" s="1">
        <v>4030</v>
      </c>
      <c r="AD1768">
        <v>241</v>
      </c>
      <c r="AE1768" s="1">
        <v>971230</v>
      </c>
      <c r="AF1768">
        <v>0</v>
      </c>
      <c r="AJ1768">
        <v>0</v>
      </c>
      <c r="AK1768">
        <v>0</v>
      </c>
      <c r="AL1768">
        <v>0</v>
      </c>
      <c r="AM1768">
        <v>0</v>
      </c>
      <c r="AN1768">
        <v>0</v>
      </c>
      <c r="AO1768">
        <v>0</v>
      </c>
      <c r="AP1768" s="2">
        <v>42831</v>
      </c>
      <c r="AQ1768" t="s">
        <v>72</v>
      </c>
      <c r="AR1768" t="s">
        <v>72</v>
      </c>
      <c r="AS1768">
        <v>470</v>
      </c>
      <c r="AT1768" s="4">
        <v>42782</v>
      </c>
      <c r="AU1768" t="s">
        <v>73</v>
      </c>
      <c r="AV1768">
        <v>470</v>
      </c>
      <c r="AW1768" s="4">
        <v>42782</v>
      </c>
      <c r="BD1768">
        <v>0</v>
      </c>
      <c r="BN1768" t="s">
        <v>74</v>
      </c>
    </row>
    <row r="1769" spans="1:66">
      <c r="A1769">
        <v>104093</v>
      </c>
      <c r="B1769" t="s">
        <v>379</v>
      </c>
      <c r="C1769" s="1">
        <v>43300101</v>
      </c>
      <c r="D1769" t="s">
        <v>67</v>
      </c>
      <c r="H1769" t="str">
        <f t="shared" si="224"/>
        <v>12572900152</v>
      </c>
      <c r="I1769" t="str">
        <f t="shared" si="225"/>
        <v>06032681006</v>
      </c>
      <c r="K1769" t="str">
        <f>""</f>
        <v/>
      </c>
      <c r="M1769" t="s">
        <v>68</v>
      </c>
      <c r="N1769" t="str">
        <f t="shared" si="221"/>
        <v>FOR</v>
      </c>
      <c r="O1769" t="s">
        <v>69</v>
      </c>
      <c r="P1769" t="s">
        <v>75</v>
      </c>
      <c r="Q1769">
        <v>2016</v>
      </c>
      <c r="R1769" s="4">
        <v>42481</v>
      </c>
      <c r="S1769" s="2">
        <v>42486</v>
      </c>
      <c r="T1769" s="2">
        <v>42482</v>
      </c>
      <c r="U1769" s="4">
        <v>42542</v>
      </c>
      <c r="V1769" t="s">
        <v>71</v>
      </c>
      <c r="W1769" t="str">
        <f>"            25310615"</f>
        <v xml:space="preserve">            25310615</v>
      </c>
      <c r="X1769" s="1">
        <v>1679.94</v>
      </c>
      <c r="Y1769">
        <v>0</v>
      </c>
      <c r="Z1769" s="5">
        <v>1377</v>
      </c>
      <c r="AA1769" s="3">
        <v>240</v>
      </c>
      <c r="AB1769" s="5">
        <v>330480</v>
      </c>
      <c r="AC1769" s="1">
        <v>1377</v>
      </c>
      <c r="AD1769">
        <v>240</v>
      </c>
      <c r="AE1769" s="1">
        <v>330480</v>
      </c>
      <c r="AF1769">
        <v>0</v>
      </c>
      <c r="AJ1769">
        <v>0</v>
      </c>
      <c r="AK1769">
        <v>0</v>
      </c>
      <c r="AL1769">
        <v>0</v>
      </c>
      <c r="AM1769">
        <v>0</v>
      </c>
      <c r="AN1769">
        <v>0</v>
      </c>
      <c r="AO1769">
        <v>0</v>
      </c>
      <c r="AP1769" s="2">
        <v>42831</v>
      </c>
      <c r="AQ1769" t="s">
        <v>72</v>
      </c>
      <c r="AR1769" t="s">
        <v>72</v>
      </c>
      <c r="AS1769">
        <v>470</v>
      </c>
      <c r="AT1769" s="4">
        <v>42782</v>
      </c>
      <c r="AU1769" t="s">
        <v>73</v>
      </c>
      <c r="AV1769">
        <v>470</v>
      </c>
      <c r="AW1769" s="4">
        <v>42782</v>
      </c>
      <c r="BD1769">
        <v>0</v>
      </c>
      <c r="BN1769" t="s">
        <v>74</v>
      </c>
    </row>
    <row r="1770" spans="1:66">
      <c r="A1770">
        <v>104093</v>
      </c>
      <c r="B1770" t="s">
        <v>379</v>
      </c>
      <c r="C1770" s="1">
        <v>43300101</v>
      </c>
      <c r="D1770" t="s">
        <v>67</v>
      </c>
      <c r="H1770" t="str">
        <f t="shared" si="224"/>
        <v>12572900152</v>
      </c>
      <c r="I1770" t="str">
        <f t="shared" si="225"/>
        <v>06032681006</v>
      </c>
      <c r="K1770" t="str">
        <f>""</f>
        <v/>
      </c>
      <c r="M1770" t="s">
        <v>68</v>
      </c>
      <c r="N1770" t="str">
        <f t="shared" ref="N1770:N1833" si="226">"FOR"</f>
        <v>FOR</v>
      </c>
      <c r="O1770" t="s">
        <v>69</v>
      </c>
      <c r="P1770" t="s">
        <v>75</v>
      </c>
      <c r="Q1770">
        <v>2016</v>
      </c>
      <c r="R1770" s="4">
        <v>42482</v>
      </c>
      <c r="S1770" s="2">
        <v>42489</v>
      </c>
      <c r="T1770" s="2">
        <v>42488</v>
      </c>
      <c r="U1770" s="4">
        <v>42548</v>
      </c>
      <c r="V1770" t="s">
        <v>71</v>
      </c>
      <c r="W1770" t="str">
        <f>"            25310844"</f>
        <v xml:space="preserve">            25310844</v>
      </c>
      <c r="X1770">
        <v>936</v>
      </c>
      <c r="Y1770">
        <v>0</v>
      </c>
      <c r="Z1770" s="5">
        <v>900</v>
      </c>
      <c r="AA1770" s="3">
        <v>234</v>
      </c>
      <c r="AB1770" s="5">
        <v>210600</v>
      </c>
      <c r="AC1770">
        <v>900</v>
      </c>
      <c r="AD1770">
        <v>234</v>
      </c>
      <c r="AE1770" s="1">
        <v>210600</v>
      </c>
      <c r="AF1770">
        <v>0</v>
      </c>
      <c r="AJ1770">
        <v>0</v>
      </c>
      <c r="AK1770">
        <v>0</v>
      </c>
      <c r="AL1770">
        <v>0</v>
      </c>
      <c r="AM1770">
        <v>0</v>
      </c>
      <c r="AN1770">
        <v>0</v>
      </c>
      <c r="AO1770">
        <v>0</v>
      </c>
      <c r="AP1770" s="2">
        <v>42831</v>
      </c>
      <c r="AQ1770" t="s">
        <v>72</v>
      </c>
      <c r="AR1770" t="s">
        <v>72</v>
      </c>
      <c r="AS1770">
        <v>470</v>
      </c>
      <c r="AT1770" s="4">
        <v>42782</v>
      </c>
      <c r="AU1770" t="s">
        <v>73</v>
      </c>
      <c r="AV1770">
        <v>470</v>
      </c>
      <c r="AW1770" s="4">
        <v>42782</v>
      </c>
      <c r="BD1770">
        <v>0</v>
      </c>
      <c r="BN1770" t="s">
        <v>74</v>
      </c>
    </row>
    <row r="1771" spans="1:66">
      <c r="A1771">
        <v>104093</v>
      </c>
      <c r="B1771" t="s">
        <v>379</v>
      </c>
      <c r="C1771" s="1">
        <v>43300101</v>
      </c>
      <c r="D1771" t="s">
        <v>67</v>
      </c>
      <c r="H1771" t="str">
        <f t="shared" si="224"/>
        <v>12572900152</v>
      </c>
      <c r="I1771" t="str">
        <f t="shared" si="225"/>
        <v>06032681006</v>
      </c>
      <c r="K1771" t="str">
        <f>""</f>
        <v/>
      </c>
      <c r="M1771" t="s">
        <v>68</v>
      </c>
      <c r="N1771" t="str">
        <f t="shared" si="226"/>
        <v>FOR</v>
      </c>
      <c r="O1771" t="s">
        <v>69</v>
      </c>
      <c r="P1771" t="s">
        <v>75</v>
      </c>
      <c r="Q1771">
        <v>2016</v>
      </c>
      <c r="R1771" s="4">
        <v>42482</v>
      </c>
      <c r="S1771" s="2">
        <v>42489</v>
      </c>
      <c r="T1771" s="2">
        <v>42488</v>
      </c>
      <c r="U1771" s="4">
        <v>42548</v>
      </c>
      <c r="V1771" t="s">
        <v>71</v>
      </c>
      <c r="W1771" t="str">
        <f>"            25310846"</f>
        <v xml:space="preserve">            25310846</v>
      </c>
      <c r="X1771">
        <v>936</v>
      </c>
      <c r="Y1771">
        <v>0</v>
      </c>
      <c r="Z1771" s="5">
        <v>900</v>
      </c>
      <c r="AA1771" s="3">
        <v>234</v>
      </c>
      <c r="AB1771" s="5">
        <v>210600</v>
      </c>
      <c r="AC1771">
        <v>900</v>
      </c>
      <c r="AD1771">
        <v>234</v>
      </c>
      <c r="AE1771" s="1">
        <v>210600</v>
      </c>
      <c r="AF1771">
        <v>0</v>
      </c>
      <c r="AJ1771">
        <v>0</v>
      </c>
      <c r="AK1771">
        <v>0</v>
      </c>
      <c r="AL1771">
        <v>0</v>
      </c>
      <c r="AM1771">
        <v>0</v>
      </c>
      <c r="AN1771">
        <v>0</v>
      </c>
      <c r="AO1771">
        <v>0</v>
      </c>
      <c r="AP1771" s="2">
        <v>42831</v>
      </c>
      <c r="AQ1771" t="s">
        <v>72</v>
      </c>
      <c r="AR1771" t="s">
        <v>72</v>
      </c>
      <c r="AS1771">
        <v>470</v>
      </c>
      <c r="AT1771" s="4">
        <v>42782</v>
      </c>
      <c r="AU1771" t="s">
        <v>73</v>
      </c>
      <c r="AV1771">
        <v>470</v>
      </c>
      <c r="AW1771" s="4">
        <v>42782</v>
      </c>
      <c r="BD1771">
        <v>0</v>
      </c>
      <c r="BN1771" t="s">
        <v>74</v>
      </c>
    </row>
    <row r="1772" spans="1:66">
      <c r="A1772">
        <v>104093</v>
      </c>
      <c r="B1772" t="s">
        <v>379</v>
      </c>
      <c r="C1772" s="1">
        <v>43300101</v>
      </c>
      <c r="D1772" t="s">
        <v>67</v>
      </c>
      <c r="H1772" t="str">
        <f t="shared" si="224"/>
        <v>12572900152</v>
      </c>
      <c r="I1772" t="str">
        <f t="shared" si="225"/>
        <v>06032681006</v>
      </c>
      <c r="K1772" t="str">
        <f>""</f>
        <v/>
      </c>
      <c r="M1772" t="s">
        <v>68</v>
      </c>
      <c r="N1772" t="str">
        <f t="shared" si="226"/>
        <v>FOR</v>
      </c>
      <c r="O1772" t="s">
        <v>69</v>
      </c>
      <c r="P1772" t="s">
        <v>75</v>
      </c>
      <c r="Q1772">
        <v>2016</v>
      </c>
      <c r="R1772" s="4">
        <v>42482</v>
      </c>
      <c r="S1772" s="2">
        <v>42492</v>
      </c>
      <c r="T1772" s="2">
        <v>42488</v>
      </c>
      <c r="U1772" s="4">
        <v>42548</v>
      </c>
      <c r="V1772" t="s">
        <v>71</v>
      </c>
      <c r="W1772" t="str">
        <f>"            25310848"</f>
        <v xml:space="preserve">            25310848</v>
      </c>
      <c r="X1772">
        <v>936</v>
      </c>
      <c r="Y1772">
        <v>0</v>
      </c>
      <c r="Z1772" s="5">
        <v>900</v>
      </c>
      <c r="AA1772" s="3">
        <v>234</v>
      </c>
      <c r="AB1772" s="5">
        <v>210600</v>
      </c>
      <c r="AC1772">
        <v>900</v>
      </c>
      <c r="AD1772">
        <v>234</v>
      </c>
      <c r="AE1772" s="1">
        <v>210600</v>
      </c>
      <c r="AF1772">
        <v>0</v>
      </c>
      <c r="AJ1772">
        <v>0</v>
      </c>
      <c r="AK1772">
        <v>0</v>
      </c>
      <c r="AL1772">
        <v>0</v>
      </c>
      <c r="AM1772">
        <v>0</v>
      </c>
      <c r="AN1772">
        <v>0</v>
      </c>
      <c r="AO1772">
        <v>0</v>
      </c>
      <c r="AP1772" s="2">
        <v>42831</v>
      </c>
      <c r="AQ1772" t="s">
        <v>72</v>
      </c>
      <c r="AR1772" t="s">
        <v>72</v>
      </c>
      <c r="AS1772">
        <v>470</v>
      </c>
      <c r="AT1772" s="4">
        <v>42782</v>
      </c>
      <c r="AU1772" t="s">
        <v>73</v>
      </c>
      <c r="AV1772">
        <v>470</v>
      </c>
      <c r="AW1772" s="4">
        <v>42782</v>
      </c>
      <c r="BD1772">
        <v>0</v>
      </c>
      <c r="BN1772" t="s">
        <v>74</v>
      </c>
    </row>
    <row r="1773" spans="1:66">
      <c r="A1773">
        <v>104093</v>
      </c>
      <c r="B1773" t="s">
        <v>379</v>
      </c>
      <c r="C1773" s="1">
        <v>43300101</v>
      </c>
      <c r="D1773" t="s">
        <v>67</v>
      </c>
      <c r="H1773" t="str">
        <f t="shared" si="224"/>
        <v>12572900152</v>
      </c>
      <c r="I1773" t="str">
        <f t="shared" si="225"/>
        <v>06032681006</v>
      </c>
      <c r="K1773" t="str">
        <f>""</f>
        <v/>
      </c>
      <c r="M1773" t="s">
        <v>68</v>
      </c>
      <c r="N1773" t="str">
        <f t="shared" si="226"/>
        <v>FOR</v>
      </c>
      <c r="O1773" t="s">
        <v>69</v>
      </c>
      <c r="P1773" t="s">
        <v>75</v>
      </c>
      <c r="Q1773">
        <v>2016</v>
      </c>
      <c r="R1773" s="4">
        <v>42482</v>
      </c>
      <c r="S1773" s="2">
        <v>42492</v>
      </c>
      <c r="T1773" s="2">
        <v>42488</v>
      </c>
      <c r="U1773" s="4">
        <v>42548</v>
      </c>
      <c r="V1773" t="s">
        <v>71</v>
      </c>
      <c r="W1773" t="str">
        <f>"            25310852"</f>
        <v xml:space="preserve">            25310852</v>
      </c>
      <c r="X1773">
        <v>936</v>
      </c>
      <c r="Y1773">
        <v>0</v>
      </c>
      <c r="Z1773" s="5">
        <v>900</v>
      </c>
      <c r="AA1773" s="3">
        <v>234</v>
      </c>
      <c r="AB1773" s="5">
        <v>210600</v>
      </c>
      <c r="AC1773">
        <v>900</v>
      </c>
      <c r="AD1773">
        <v>234</v>
      </c>
      <c r="AE1773" s="1">
        <v>210600</v>
      </c>
      <c r="AF1773">
        <v>0</v>
      </c>
      <c r="AJ1773">
        <v>0</v>
      </c>
      <c r="AK1773">
        <v>0</v>
      </c>
      <c r="AL1773">
        <v>0</v>
      </c>
      <c r="AM1773">
        <v>0</v>
      </c>
      <c r="AN1773">
        <v>0</v>
      </c>
      <c r="AO1773">
        <v>0</v>
      </c>
      <c r="AP1773" s="2">
        <v>42831</v>
      </c>
      <c r="AQ1773" t="s">
        <v>72</v>
      </c>
      <c r="AR1773" t="s">
        <v>72</v>
      </c>
      <c r="AS1773">
        <v>470</v>
      </c>
      <c r="AT1773" s="4">
        <v>42782</v>
      </c>
      <c r="AU1773" t="s">
        <v>73</v>
      </c>
      <c r="AV1773">
        <v>470</v>
      </c>
      <c r="AW1773" s="4">
        <v>42782</v>
      </c>
      <c r="BD1773">
        <v>0</v>
      </c>
      <c r="BN1773" t="s">
        <v>74</v>
      </c>
    </row>
    <row r="1774" spans="1:66">
      <c r="A1774">
        <v>104093</v>
      </c>
      <c r="B1774" t="s">
        <v>379</v>
      </c>
      <c r="C1774" s="1">
        <v>43300101</v>
      </c>
      <c r="D1774" t="s">
        <v>67</v>
      </c>
      <c r="H1774" t="str">
        <f t="shared" si="224"/>
        <v>12572900152</v>
      </c>
      <c r="I1774" t="str">
        <f t="shared" si="225"/>
        <v>06032681006</v>
      </c>
      <c r="K1774" t="str">
        <f>""</f>
        <v/>
      </c>
      <c r="M1774" t="s">
        <v>68</v>
      </c>
      <c r="N1774" t="str">
        <f t="shared" si="226"/>
        <v>FOR</v>
      </c>
      <c r="O1774" t="s">
        <v>69</v>
      </c>
      <c r="P1774" t="s">
        <v>75</v>
      </c>
      <c r="Q1774">
        <v>2016</v>
      </c>
      <c r="R1774" s="4">
        <v>42482</v>
      </c>
      <c r="S1774" s="2">
        <v>42492</v>
      </c>
      <c r="T1774" s="2">
        <v>42488</v>
      </c>
      <c r="U1774" s="4">
        <v>42548</v>
      </c>
      <c r="V1774" t="s">
        <v>71</v>
      </c>
      <c r="W1774" t="str">
        <f>"            25310854"</f>
        <v xml:space="preserve">            25310854</v>
      </c>
      <c r="X1774">
        <v>936</v>
      </c>
      <c r="Y1774">
        <v>0</v>
      </c>
      <c r="Z1774" s="5">
        <v>900</v>
      </c>
      <c r="AA1774" s="3">
        <v>234</v>
      </c>
      <c r="AB1774" s="5">
        <v>210600</v>
      </c>
      <c r="AC1774">
        <v>900</v>
      </c>
      <c r="AD1774">
        <v>234</v>
      </c>
      <c r="AE1774" s="1">
        <v>210600</v>
      </c>
      <c r="AF1774">
        <v>0</v>
      </c>
      <c r="AJ1774">
        <v>0</v>
      </c>
      <c r="AK1774">
        <v>0</v>
      </c>
      <c r="AL1774">
        <v>0</v>
      </c>
      <c r="AM1774">
        <v>0</v>
      </c>
      <c r="AN1774">
        <v>0</v>
      </c>
      <c r="AO1774">
        <v>0</v>
      </c>
      <c r="AP1774" s="2">
        <v>42831</v>
      </c>
      <c r="AQ1774" t="s">
        <v>72</v>
      </c>
      <c r="AR1774" t="s">
        <v>72</v>
      </c>
      <c r="AS1774">
        <v>470</v>
      </c>
      <c r="AT1774" s="4">
        <v>42782</v>
      </c>
      <c r="AU1774" t="s">
        <v>73</v>
      </c>
      <c r="AV1774">
        <v>470</v>
      </c>
      <c r="AW1774" s="4">
        <v>42782</v>
      </c>
      <c r="BD1774">
        <v>0</v>
      </c>
      <c r="BN1774" t="s">
        <v>74</v>
      </c>
    </row>
    <row r="1775" spans="1:66">
      <c r="A1775">
        <v>104093</v>
      </c>
      <c r="B1775" t="s">
        <v>379</v>
      </c>
      <c r="C1775" s="1">
        <v>43300101</v>
      </c>
      <c r="D1775" t="s">
        <v>67</v>
      </c>
      <c r="H1775" t="str">
        <f t="shared" si="224"/>
        <v>12572900152</v>
      </c>
      <c r="I1775" t="str">
        <f t="shared" si="225"/>
        <v>06032681006</v>
      </c>
      <c r="K1775" t="str">
        <f>""</f>
        <v/>
      </c>
      <c r="M1775" t="s">
        <v>68</v>
      </c>
      <c r="N1775" t="str">
        <f t="shared" si="226"/>
        <v>FOR</v>
      </c>
      <c r="O1775" t="s">
        <v>69</v>
      </c>
      <c r="P1775" t="s">
        <v>75</v>
      </c>
      <c r="Q1775">
        <v>2016</v>
      </c>
      <c r="R1775" s="4">
        <v>42489</v>
      </c>
      <c r="S1775" s="2">
        <v>42495</v>
      </c>
      <c r="T1775" s="2">
        <v>42493</v>
      </c>
      <c r="U1775" s="4">
        <v>42553</v>
      </c>
      <c r="V1775" t="s">
        <v>71</v>
      </c>
      <c r="W1775" t="str">
        <f>"            25312300"</f>
        <v xml:space="preserve">            25312300</v>
      </c>
      <c r="X1775">
        <v>403.42</v>
      </c>
      <c r="Y1775">
        <v>0</v>
      </c>
      <c r="Z1775" s="5">
        <v>387.9</v>
      </c>
      <c r="AA1775" s="3">
        <v>229</v>
      </c>
      <c r="AB1775" s="5">
        <v>88829.1</v>
      </c>
      <c r="AC1775">
        <v>387.9</v>
      </c>
      <c r="AD1775">
        <v>229</v>
      </c>
      <c r="AE1775" s="1">
        <v>88829.1</v>
      </c>
      <c r="AF1775">
        <v>0</v>
      </c>
      <c r="AJ1775">
        <v>0</v>
      </c>
      <c r="AK1775">
        <v>0</v>
      </c>
      <c r="AL1775">
        <v>0</v>
      </c>
      <c r="AM1775">
        <v>0</v>
      </c>
      <c r="AN1775">
        <v>0</v>
      </c>
      <c r="AO1775">
        <v>0</v>
      </c>
      <c r="AP1775" s="2">
        <v>42831</v>
      </c>
      <c r="AQ1775" t="s">
        <v>72</v>
      </c>
      <c r="AR1775" t="s">
        <v>72</v>
      </c>
      <c r="AS1775">
        <v>470</v>
      </c>
      <c r="AT1775" s="4">
        <v>42782</v>
      </c>
      <c r="AU1775" t="s">
        <v>73</v>
      </c>
      <c r="AV1775">
        <v>470</v>
      </c>
      <c r="AW1775" s="4">
        <v>42782</v>
      </c>
      <c r="BD1775">
        <v>0</v>
      </c>
      <c r="BN1775" t="s">
        <v>74</v>
      </c>
    </row>
    <row r="1776" spans="1:66">
      <c r="A1776">
        <v>104093</v>
      </c>
      <c r="B1776" t="s">
        <v>379</v>
      </c>
      <c r="C1776" s="1">
        <v>43300101</v>
      </c>
      <c r="D1776" t="s">
        <v>67</v>
      </c>
      <c r="H1776" t="str">
        <f t="shared" si="224"/>
        <v>12572900152</v>
      </c>
      <c r="I1776" t="str">
        <f t="shared" si="225"/>
        <v>06032681006</v>
      </c>
      <c r="K1776" t="str">
        <f>""</f>
        <v/>
      </c>
      <c r="M1776" t="s">
        <v>68</v>
      </c>
      <c r="N1776" t="str">
        <f t="shared" si="226"/>
        <v>FOR</v>
      </c>
      <c r="O1776" t="s">
        <v>69</v>
      </c>
      <c r="P1776" t="s">
        <v>75</v>
      </c>
      <c r="Q1776">
        <v>2016</v>
      </c>
      <c r="R1776" s="4">
        <v>42489</v>
      </c>
      <c r="S1776" s="2">
        <v>42496</v>
      </c>
      <c r="T1776" s="2">
        <v>42493</v>
      </c>
      <c r="U1776" s="4">
        <v>42553</v>
      </c>
      <c r="V1776" t="s">
        <v>71</v>
      </c>
      <c r="W1776" t="str">
        <f>"            25312302"</f>
        <v xml:space="preserve">            25312302</v>
      </c>
      <c r="X1776">
        <v>74.88</v>
      </c>
      <c r="Y1776">
        <v>0</v>
      </c>
      <c r="Z1776" s="5">
        <v>72</v>
      </c>
      <c r="AA1776" s="3">
        <v>229</v>
      </c>
      <c r="AB1776" s="5">
        <v>16488</v>
      </c>
      <c r="AC1776">
        <v>72</v>
      </c>
      <c r="AD1776">
        <v>229</v>
      </c>
      <c r="AE1776" s="1">
        <v>16488</v>
      </c>
      <c r="AF1776">
        <v>0</v>
      </c>
      <c r="AJ1776">
        <v>0</v>
      </c>
      <c r="AK1776">
        <v>0</v>
      </c>
      <c r="AL1776">
        <v>0</v>
      </c>
      <c r="AM1776">
        <v>0</v>
      </c>
      <c r="AN1776">
        <v>0</v>
      </c>
      <c r="AO1776">
        <v>0</v>
      </c>
      <c r="AP1776" s="2">
        <v>42831</v>
      </c>
      <c r="AQ1776" t="s">
        <v>72</v>
      </c>
      <c r="AR1776" t="s">
        <v>72</v>
      </c>
      <c r="AS1776">
        <v>470</v>
      </c>
      <c r="AT1776" s="4">
        <v>42782</v>
      </c>
      <c r="AU1776" t="s">
        <v>73</v>
      </c>
      <c r="AV1776">
        <v>470</v>
      </c>
      <c r="AW1776" s="4">
        <v>42782</v>
      </c>
      <c r="BD1776">
        <v>0</v>
      </c>
      <c r="BN1776" t="s">
        <v>74</v>
      </c>
    </row>
    <row r="1777" spans="1:66">
      <c r="A1777">
        <v>104093</v>
      </c>
      <c r="B1777" t="s">
        <v>379</v>
      </c>
      <c r="C1777" s="1">
        <v>43300101</v>
      </c>
      <c r="D1777" t="s">
        <v>67</v>
      </c>
      <c r="H1777" t="str">
        <f t="shared" si="224"/>
        <v>12572900152</v>
      </c>
      <c r="I1777" t="str">
        <f t="shared" si="225"/>
        <v>06032681006</v>
      </c>
      <c r="K1777" t="str">
        <f>""</f>
        <v/>
      </c>
      <c r="M1777" t="s">
        <v>68</v>
      </c>
      <c r="N1777" t="str">
        <f t="shared" si="226"/>
        <v>FOR</v>
      </c>
      <c r="O1777" t="s">
        <v>69</v>
      </c>
      <c r="P1777" t="s">
        <v>75</v>
      </c>
      <c r="Q1777">
        <v>2016</v>
      </c>
      <c r="R1777" s="4">
        <v>42489</v>
      </c>
      <c r="S1777" s="2">
        <v>42496</v>
      </c>
      <c r="T1777" s="2">
        <v>42493</v>
      </c>
      <c r="U1777" s="4">
        <v>42553</v>
      </c>
      <c r="V1777" t="s">
        <v>71</v>
      </c>
      <c r="W1777" t="str">
        <f>"            25312304"</f>
        <v xml:space="preserve">            25312304</v>
      </c>
      <c r="X1777">
        <v>74.88</v>
      </c>
      <c r="Y1777">
        <v>0</v>
      </c>
      <c r="Z1777" s="5">
        <v>72</v>
      </c>
      <c r="AA1777" s="3">
        <v>229</v>
      </c>
      <c r="AB1777" s="5">
        <v>16488</v>
      </c>
      <c r="AC1777">
        <v>72</v>
      </c>
      <c r="AD1777">
        <v>229</v>
      </c>
      <c r="AE1777" s="1">
        <v>16488</v>
      </c>
      <c r="AF1777">
        <v>0</v>
      </c>
      <c r="AJ1777">
        <v>0</v>
      </c>
      <c r="AK1777">
        <v>0</v>
      </c>
      <c r="AL1777">
        <v>0</v>
      </c>
      <c r="AM1777">
        <v>0</v>
      </c>
      <c r="AN1777">
        <v>0</v>
      </c>
      <c r="AO1777">
        <v>0</v>
      </c>
      <c r="AP1777" s="2">
        <v>42831</v>
      </c>
      <c r="AQ1777" t="s">
        <v>72</v>
      </c>
      <c r="AR1777" t="s">
        <v>72</v>
      </c>
      <c r="AS1777">
        <v>470</v>
      </c>
      <c r="AT1777" s="4">
        <v>42782</v>
      </c>
      <c r="AU1777" t="s">
        <v>73</v>
      </c>
      <c r="AV1777">
        <v>470</v>
      </c>
      <c r="AW1777" s="4">
        <v>42782</v>
      </c>
      <c r="BD1777">
        <v>0</v>
      </c>
      <c r="BN1777" t="s">
        <v>74</v>
      </c>
    </row>
    <row r="1778" spans="1:66">
      <c r="A1778">
        <v>104093</v>
      </c>
      <c r="B1778" t="s">
        <v>379</v>
      </c>
      <c r="C1778" s="1">
        <v>43300101</v>
      </c>
      <c r="D1778" t="s">
        <v>67</v>
      </c>
      <c r="H1778" t="str">
        <f t="shared" si="224"/>
        <v>12572900152</v>
      </c>
      <c r="I1778" t="str">
        <f t="shared" si="225"/>
        <v>06032681006</v>
      </c>
      <c r="K1778" t="str">
        <f>""</f>
        <v/>
      </c>
      <c r="M1778" t="s">
        <v>68</v>
      </c>
      <c r="N1778" t="str">
        <f t="shared" si="226"/>
        <v>FOR</v>
      </c>
      <c r="O1778" t="s">
        <v>69</v>
      </c>
      <c r="P1778" t="s">
        <v>75</v>
      </c>
      <c r="Q1778">
        <v>2016</v>
      </c>
      <c r="R1778" s="4">
        <v>42489</v>
      </c>
      <c r="S1778" s="2">
        <v>42496</v>
      </c>
      <c r="T1778" s="2">
        <v>42493</v>
      </c>
      <c r="U1778" s="4">
        <v>42553</v>
      </c>
      <c r="V1778" t="s">
        <v>71</v>
      </c>
      <c r="W1778" t="str">
        <f>"            25312305"</f>
        <v xml:space="preserve">            25312305</v>
      </c>
      <c r="X1778">
        <v>74.88</v>
      </c>
      <c r="Y1778">
        <v>0</v>
      </c>
      <c r="Z1778" s="5">
        <v>72</v>
      </c>
      <c r="AA1778" s="3">
        <v>229</v>
      </c>
      <c r="AB1778" s="5">
        <v>16488</v>
      </c>
      <c r="AC1778">
        <v>72</v>
      </c>
      <c r="AD1778">
        <v>229</v>
      </c>
      <c r="AE1778" s="1">
        <v>16488</v>
      </c>
      <c r="AF1778">
        <v>0</v>
      </c>
      <c r="AJ1778">
        <v>0</v>
      </c>
      <c r="AK1778">
        <v>0</v>
      </c>
      <c r="AL1778">
        <v>0</v>
      </c>
      <c r="AM1778">
        <v>0</v>
      </c>
      <c r="AN1778">
        <v>0</v>
      </c>
      <c r="AO1778">
        <v>0</v>
      </c>
      <c r="AP1778" s="2">
        <v>42831</v>
      </c>
      <c r="AQ1778" t="s">
        <v>72</v>
      </c>
      <c r="AR1778" t="s">
        <v>72</v>
      </c>
      <c r="AS1778">
        <v>470</v>
      </c>
      <c r="AT1778" s="4">
        <v>42782</v>
      </c>
      <c r="AU1778" t="s">
        <v>73</v>
      </c>
      <c r="AV1778">
        <v>470</v>
      </c>
      <c r="AW1778" s="4">
        <v>42782</v>
      </c>
      <c r="BD1778">
        <v>0</v>
      </c>
      <c r="BN1778" t="s">
        <v>74</v>
      </c>
    </row>
    <row r="1779" spans="1:66">
      <c r="A1779">
        <v>104093</v>
      </c>
      <c r="B1779" t="s">
        <v>379</v>
      </c>
      <c r="C1779" s="1">
        <v>43300101</v>
      </c>
      <c r="D1779" t="s">
        <v>67</v>
      </c>
      <c r="H1779" t="str">
        <f t="shared" si="224"/>
        <v>12572900152</v>
      </c>
      <c r="I1779" t="str">
        <f t="shared" si="225"/>
        <v>06032681006</v>
      </c>
      <c r="K1779" t="str">
        <f>""</f>
        <v/>
      </c>
      <c r="M1779" t="s">
        <v>68</v>
      </c>
      <c r="N1779" t="str">
        <f t="shared" si="226"/>
        <v>FOR</v>
      </c>
      <c r="O1779" t="s">
        <v>69</v>
      </c>
      <c r="P1779" t="s">
        <v>75</v>
      </c>
      <c r="Q1779">
        <v>2016</v>
      </c>
      <c r="R1779" s="4">
        <v>42489</v>
      </c>
      <c r="S1779" s="2">
        <v>42496</v>
      </c>
      <c r="T1779" s="2">
        <v>42493</v>
      </c>
      <c r="U1779" s="4">
        <v>42553</v>
      </c>
      <c r="V1779" t="s">
        <v>71</v>
      </c>
      <c r="W1779" t="str">
        <f>"            25312307"</f>
        <v xml:space="preserve">            25312307</v>
      </c>
      <c r="X1779">
        <v>707.62</v>
      </c>
      <c r="Y1779">
        <v>0</v>
      </c>
      <c r="Z1779" s="5">
        <v>680.4</v>
      </c>
      <c r="AA1779" s="3">
        <v>229</v>
      </c>
      <c r="AB1779" s="5">
        <v>155811.6</v>
      </c>
      <c r="AC1779">
        <v>680.4</v>
      </c>
      <c r="AD1779">
        <v>229</v>
      </c>
      <c r="AE1779" s="1">
        <v>155811.6</v>
      </c>
      <c r="AF1779">
        <v>0</v>
      </c>
      <c r="AJ1779">
        <v>0</v>
      </c>
      <c r="AK1779">
        <v>0</v>
      </c>
      <c r="AL1779">
        <v>0</v>
      </c>
      <c r="AM1779">
        <v>0</v>
      </c>
      <c r="AN1779">
        <v>0</v>
      </c>
      <c r="AO1779">
        <v>0</v>
      </c>
      <c r="AP1779" s="2">
        <v>42831</v>
      </c>
      <c r="AQ1779" t="s">
        <v>72</v>
      </c>
      <c r="AR1779" t="s">
        <v>72</v>
      </c>
      <c r="AS1779">
        <v>470</v>
      </c>
      <c r="AT1779" s="4">
        <v>42782</v>
      </c>
      <c r="AU1779" t="s">
        <v>73</v>
      </c>
      <c r="AV1779">
        <v>470</v>
      </c>
      <c r="AW1779" s="4">
        <v>42782</v>
      </c>
      <c r="BD1779">
        <v>0</v>
      </c>
      <c r="BN1779" t="s">
        <v>74</v>
      </c>
    </row>
    <row r="1780" spans="1:66">
      <c r="A1780">
        <v>104093</v>
      </c>
      <c r="B1780" t="s">
        <v>379</v>
      </c>
      <c r="C1780" s="1">
        <v>43300101</v>
      </c>
      <c r="D1780" t="s">
        <v>67</v>
      </c>
      <c r="H1780" t="str">
        <f t="shared" si="224"/>
        <v>12572900152</v>
      </c>
      <c r="I1780" t="str">
        <f t="shared" si="225"/>
        <v>06032681006</v>
      </c>
      <c r="K1780" t="str">
        <f>""</f>
        <v/>
      </c>
      <c r="M1780" t="s">
        <v>68</v>
      </c>
      <c r="N1780" t="str">
        <f t="shared" si="226"/>
        <v>FOR</v>
      </c>
      <c r="O1780" t="s">
        <v>69</v>
      </c>
      <c r="P1780" t="s">
        <v>75</v>
      </c>
      <c r="Q1780">
        <v>2016</v>
      </c>
      <c r="R1780" s="4">
        <v>42489</v>
      </c>
      <c r="S1780" s="2">
        <v>42496</v>
      </c>
      <c r="T1780" s="2">
        <v>42493</v>
      </c>
      <c r="U1780" s="4">
        <v>42553</v>
      </c>
      <c r="V1780" t="s">
        <v>71</v>
      </c>
      <c r="W1780" t="str">
        <f>"            25312309"</f>
        <v xml:space="preserve">            25312309</v>
      </c>
      <c r="X1780">
        <v>252.72</v>
      </c>
      <c r="Y1780">
        <v>0</v>
      </c>
      <c r="Z1780" s="5">
        <v>243</v>
      </c>
      <c r="AA1780" s="3">
        <v>229</v>
      </c>
      <c r="AB1780" s="5">
        <v>55647</v>
      </c>
      <c r="AC1780">
        <v>243</v>
      </c>
      <c r="AD1780">
        <v>229</v>
      </c>
      <c r="AE1780" s="1">
        <v>55647</v>
      </c>
      <c r="AF1780">
        <v>0</v>
      </c>
      <c r="AJ1780">
        <v>0</v>
      </c>
      <c r="AK1780">
        <v>0</v>
      </c>
      <c r="AL1780">
        <v>0</v>
      </c>
      <c r="AM1780">
        <v>0</v>
      </c>
      <c r="AN1780">
        <v>0</v>
      </c>
      <c r="AO1780">
        <v>0</v>
      </c>
      <c r="AP1780" s="2">
        <v>42831</v>
      </c>
      <c r="AQ1780" t="s">
        <v>72</v>
      </c>
      <c r="AR1780" t="s">
        <v>72</v>
      </c>
      <c r="AS1780">
        <v>470</v>
      </c>
      <c r="AT1780" s="4">
        <v>42782</v>
      </c>
      <c r="AU1780" t="s">
        <v>73</v>
      </c>
      <c r="AV1780">
        <v>470</v>
      </c>
      <c r="AW1780" s="4">
        <v>42782</v>
      </c>
      <c r="BD1780">
        <v>0</v>
      </c>
      <c r="BN1780" t="s">
        <v>74</v>
      </c>
    </row>
    <row r="1781" spans="1:66">
      <c r="A1781">
        <v>104093</v>
      </c>
      <c r="B1781" t="s">
        <v>379</v>
      </c>
      <c r="C1781" s="1">
        <v>43300101</v>
      </c>
      <c r="D1781" t="s">
        <v>67</v>
      </c>
      <c r="H1781" t="str">
        <f t="shared" si="224"/>
        <v>12572900152</v>
      </c>
      <c r="I1781" t="str">
        <f t="shared" si="225"/>
        <v>06032681006</v>
      </c>
      <c r="K1781" t="str">
        <f>""</f>
        <v/>
      </c>
      <c r="M1781" t="s">
        <v>68</v>
      </c>
      <c r="N1781" t="str">
        <f t="shared" si="226"/>
        <v>FOR</v>
      </c>
      <c r="O1781" t="s">
        <v>69</v>
      </c>
      <c r="P1781" t="s">
        <v>75</v>
      </c>
      <c r="Q1781">
        <v>2016</v>
      </c>
      <c r="R1781" s="4">
        <v>42489</v>
      </c>
      <c r="S1781" s="2">
        <v>42496</v>
      </c>
      <c r="T1781" s="2">
        <v>42493</v>
      </c>
      <c r="U1781" s="4">
        <v>42553</v>
      </c>
      <c r="V1781" t="s">
        <v>71</v>
      </c>
      <c r="W1781" t="str">
        <f>"            25312312"</f>
        <v xml:space="preserve">            25312312</v>
      </c>
      <c r="X1781">
        <v>74.88</v>
      </c>
      <c r="Y1781">
        <v>0</v>
      </c>
      <c r="Z1781" s="5">
        <v>72</v>
      </c>
      <c r="AA1781" s="3">
        <v>229</v>
      </c>
      <c r="AB1781" s="5">
        <v>16488</v>
      </c>
      <c r="AC1781">
        <v>72</v>
      </c>
      <c r="AD1781">
        <v>229</v>
      </c>
      <c r="AE1781" s="1">
        <v>16488</v>
      </c>
      <c r="AF1781">
        <v>0</v>
      </c>
      <c r="AJ1781">
        <v>0</v>
      </c>
      <c r="AK1781">
        <v>0</v>
      </c>
      <c r="AL1781">
        <v>0</v>
      </c>
      <c r="AM1781">
        <v>0</v>
      </c>
      <c r="AN1781">
        <v>0</v>
      </c>
      <c r="AO1781">
        <v>0</v>
      </c>
      <c r="AP1781" s="2">
        <v>42831</v>
      </c>
      <c r="AQ1781" t="s">
        <v>72</v>
      </c>
      <c r="AR1781" t="s">
        <v>72</v>
      </c>
      <c r="AS1781">
        <v>470</v>
      </c>
      <c r="AT1781" s="4">
        <v>42782</v>
      </c>
      <c r="AU1781" t="s">
        <v>73</v>
      </c>
      <c r="AV1781">
        <v>470</v>
      </c>
      <c r="AW1781" s="4">
        <v>42782</v>
      </c>
      <c r="BD1781">
        <v>0</v>
      </c>
      <c r="BN1781" t="s">
        <v>74</v>
      </c>
    </row>
    <row r="1782" spans="1:66">
      <c r="A1782">
        <v>104093</v>
      </c>
      <c r="B1782" t="s">
        <v>379</v>
      </c>
      <c r="C1782" s="1">
        <v>43300101</v>
      </c>
      <c r="D1782" t="s">
        <v>67</v>
      </c>
      <c r="H1782" t="str">
        <f t="shared" si="224"/>
        <v>12572900152</v>
      </c>
      <c r="I1782" t="str">
        <f t="shared" si="225"/>
        <v>06032681006</v>
      </c>
      <c r="K1782" t="str">
        <f>""</f>
        <v/>
      </c>
      <c r="M1782" t="s">
        <v>68</v>
      </c>
      <c r="N1782" t="str">
        <f t="shared" si="226"/>
        <v>FOR</v>
      </c>
      <c r="O1782" t="s">
        <v>69</v>
      </c>
      <c r="P1782" t="s">
        <v>75</v>
      </c>
      <c r="Q1782">
        <v>2016</v>
      </c>
      <c r="R1782" s="4">
        <v>42489</v>
      </c>
      <c r="S1782" s="2">
        <v>42496</v>
      </c>
      <c r="T1782" s="2">
        <v>42493</v>
      </c>
      <c r="U1782" s="4">
        <v>42553</v>
      </c>
      <c r="V1782" t="s">
        <v>71</v>
      </c>
      <c r="W1782" t="str">
        <f>"            25312314"</f>
        <v xml:space="preserve">            25312314</v>
      </c>
      <c r="X1782">
        <v>74.88</v>
      </c>
      <c r="Y1782">
        <v>0</v>
      </c>
      <c r="Z1782" s="5">
        <v>72</v>
      </c>
      <c r="AA1782" s="3">
        <v>229</v>
      </c>
      <c r="AB1782" s="5">
        <v>16488</v>
      </c>
      <c r="AC1782">
        <v>72</v>
      </c>
      <c r="AD1782">
        <v>229</v>
      </c>
      <c r="AE1782" s="1">
        <v>16488</v>
      </c>
      <c r="AF1782">
        <v>0</v>
      </c>
      <c r="AJ1782">
        <v>0</v>
      </c>
      <c r="AK1782">
        <v>0</v>
      </c>
      <c r="AL1782">
        <v>0</v>
      </c>
      <c r="AM1782">
        <v>0</v>
      </c>
      <c r="AN1782">
        <v>0</v>
      </c>
      <c r="AO1782">
        <v>0</v>
      </c>
      <c r="AP1782" s="2">
        <v>42831</v>
      </c>
      <c r="AQ1782" t="s">
        <v>72</v>
      </c>
      <c r="AR1782" t="s">
        <v>72</v>
      </c>
      <c r="AS1782">
        <v>470</v>
      </c>
      <c r="AT1782" s="4">
        <v>42782</v>
      </c>
      <c r="AU1782" t="s">
        <v>73</v>
      </c>
      <c r="AV1782">
        <v>470</v>
      </c>
      <c r="AW1782" s="4">
        <v>42782</v>
      </c>
      <c r="BD1782">
        <v>0</v>
      </c>
      <c r="BN1782" t="s">
        <v>74</v>
      </c>
    </row>
    <row r="1783" spans="1:66">
      <c r="A1783">
        <v>104093</v>
      </c>
      <c r="B1783" t="s">
        <v>379</v>
      </c>
      <c r="C1783" s="1">
        <v>43300101</v>
      </c>
      <c r="D1783" t="s">
        <v>67</v>
      </c>
      <c r="H1783" t="str">
        <f t="shared" si="224"/>
        <v>12572900152</v>
      </c>
      <c r="I1783" t="str">
        <f t="shared" si="225"/>
        <v>06032681006</v>
      </c>
      <c r="K1783" t="str">
        <f>""</f>
        <v/>
      </c>
      <c r="M1783" t="s">
        <v>68</v>
      </c>
      <c r="N1783" t="str">
        <f t="shared" si="226"/>
        <v>FOR</v>
      </c>
      <c r="O1783" t="s">
        <v>69</v>
      </c>
      <c r="P1783" t="s">
        <v>75</v>
      </c>
      <c r="Q1783">
        <v>2016</v>
      </c>
      <c r="R1783" s="4">
        <v>42489</v>
      </c>
      <c r="S1783" s="2">
        <v>42494</v>
      </c>
      <c r="T1783" s="2">
        <v>42493</v>
      </c>
      <c r="U1783" s="4">
        <v>42553</v>
      </c>
      <c r="V1783" t="s">
        <v>71</v>
      </c>
      <c r="W1783" t="str">
        <f>"            25312316"</f>
        <v xml:space="preserve">            25312316</v>
      </c>
      <c r="X1783">
        <v>403.42</v>
      </c>
      <c r="Y1783">
        <v>0</v>
      </c>
      <c r="Z1783" s="5">
        <v>387.9</v>
      </c>
      <c r="AA1783" s="3">
        <v>229</v>
      </c>
      <c r="AB1783" s="5">
        <v>88829.1</v>
      </c>
      <c r="AC1783">
        <v>387.9</v>
      </c>
      <c r="AD1783">
        <v>229</v>
      </c>
      <c r="AE1783" s="1">
        <v>88829.1</v>
      </c>
      <c r="AF1783">
        <v>0</v>
      </c>
      <c r="AJ1783">
        <v>0</v>
      </c>
      <c r="AK1783">
        <v>0</v>
      </c>
      <c r="AL1783">
        <v>0</v>
      </c>
      <c r="AM1783">
        <v>0</v>
      </c>
      <c r="AN1783">
        <v>0</v>
      </c>
      <c r="AO1783">
        <v>0</v>
      </c>
      <c r="AP1783" s="2">
        <v>42831</v>
      </c>
      <c r="AQ1783" t="s">
        <v>72</v>
      </c>
      <c r="AR1783" t="s">
        <v>72</v>
      </c>
      <c r="AS1783">
        <v>470</v>
      </c>
      <c r="AT1783" s="4">
        <v>42782</v>
      </c>
      <c r="AU1783" t="s">
        <v>73</v>
      </c>
      <c r="AV1783">
        <v>470</v>
      </c>
      <c r="AW1783" s="4">
        <v>42782</v>
      </c>
      <c r="BD1783">
        <v>0</v>
      </c>
      <c r="BN1783" t="s">
        <v>74</v>
      </c>
    </row>
    <row r="1784" spans="1:66">
      <c r="A1784">
        <v>104093</v>
      </c>
      <c r="B1784" t="s">
        <v>379</v>
      </c>
      <c r="C1784" s="1">
        <v>43300101</v>
      </c>
      <c r="D1784" t="s">
        <v>67</v>
      </c>
      <c r="H1784" t="str">
        <f t="shared" si="224"/>
        <v>12572900152</v>
      </c>
      <c r="I1784" t="str">
        <f t="shared" si="225"/>
        <v>06032681006</v>
      </c>
      <c r="K1784" t="str">
        <f>""</f>
        <v/>
      </c>
      <c r="M1784" t="s">
        <v>68</v>
      </c>
      <c r="N1784" t="str">
        <f t="shared" si="226"/>
        <v>FOR</v>
      </c>
      <c r="O1784" t="s">
        <v>69</v>
      </c>
      <c r="P1784" t="s">
        <v>75</v>
      </c>
      <c r="Q1784">
        <v>2016</v>
      </c>
      <c r="R1784" s="4">
        <v>42489</v>
      </c>
      <c r="S1784" s="2">
        <v>42494</v>
      </c>
      <c r="T1784" s="2">
        <v>42493</v>
      </c>
      <c r="U1784" s="4">
        <v>42553</v>
      </c>
      <c r="V1784" t="s">
        <v>71</v>
      </c>
      <c r="W1784" t="str">
        <f>"            25312318"</f>
        <v xml:space="preserve">            25312318</v>
      </c>
      <c r="X1784">
        <v>74.88</v>
      </c>
      <c r="Y1784">
        <v>0</v>
      </c>
      <c r="Z1784" s="5">
        <v>72</v>
      </c>
      <c r="AA1784" s="3">
        <v>229</v>
      </c>
      <c r="AB1784" s="5">
        <v>16488</v>
      </c>
      <c r="AC1784">
        <v>72</v>
      </c>
      <c r="AD1784">
        <v>229</v>
      </c>
      <c r="AE1784" s="1">
        <v>16488</v>
      </c>
      <c r="AF1784">
        <v>0</v>
      </c>
      <c r="AJ1784">
        <v>0</v>
      </c>
      <c r="AK1784">
        <v>0</v>
      </c>
      <c r="AL1784">
        <v>0</v>
      </c>
      <c r="AM1784">
        <v>0</v>
      </c>
      <c r="AN1784">
        <v>0</v>
      </c>
      <c r="AO1784">
        <v>0</v>
      </c>
      <c r="AP1784" s="2">
        <v>42831</v>
      </c>
      <c r="AQ1784" t="s">
        <v>72</v>
      </c>
      <c r="AR1784" t="s">
        <v>72</v>
      </c>
      <c r="AS1784">
        <v>470</v>
      </c>
      <c r="AT1784" s="4">
        <v>42782</v>
      </c>
      <c r="AU1784" t="s">
        <v>73</v>
      </c>
      <c r="AV1784">
        <v>470</v>
      </c>
      <c r="AW1784" s="4">
        <v>42782</v>
      </c>
      <c r="BD1784">
        <v>0</v>
      </c>
      <c r="BN1784" t="s">
        <v>74</v>
      </c>
    </row>
    <row r="1785" spans="1:66">
      <c r="A1785">
        <v>104093</v>
      </c>
      <c r="B1785" t="s">
        <v>379</v>
      </c>
      <c r="C1785" s="1">
        <v>43300101</v>
      </c>
      <c r="D1785" t="s">
        <v>67</v>
      </c>
      <c r="H1785" t="str">
        <f t="shared" si="224"/>
        <v>12572900152</v>
      </c>
      <c r="I1785" t="str">
        <f t="shared" si="225"/>
        <v>06032681006</v>
      </c>
      <c r="K1785" t="str">
        <f>""</f>
        <v/>
      </c>
      <c r="M1785" t="s">
        <v>68</v>
      </c>
      <c r="N1785" t="str">
        <f t="shared" si="226"/>
        <v>FOR</v>
      </c>
      <c r="O1785" t="s">
        <v>69</v>
      </c>
      <c r="P1785" t="s">
        <v>75</v>
      </c>
      <c r="Q1785">
        <v>2016</v>
      </c>
      <c r="R1785" s="4">
        <v>42489</v>
      </c>
      <c r="S1785" s="2">
        <v>42496</v>
      </c>
      <c r="T1785" s="2">
        <v>42493</v>
      </c>
      <c r="U1785" s="4">
        <v>42553</v>
      </c>
      <c r="V1785" t="s">
        <v>71</v>
      </c>
      <c r="W1785" t="str">
        <f>"            25312322"</f>
        <v xml:space="preserve">            25312322</v>
      </c>
      <c r="X1785">
        <v>74.88</v>
      </c>
      <c r="Y1785">
        <v>0</v>
      </c>
      <c r="Z1785" s="5">
        <v>72</v>
      </c>
      <c r="AA1785" s="3">
        <v>229</v>
      </c>
      <c r="AB1785" s="5">
        <v>16488</v>
      </c>
      <c r="AC1785">
        <v>72</v>
      </c>
      <c r="AD1785">
        <v>229</v>
      </c>
      <c r="AE1785" s="1">
        <v>16488</v>
      </c>
      <c r="AF1785">
        <v>0</v>
      </c>
      <c r="AJ1785">
        <v>0</v>
      </c>
      <c r="AK1785">
        <v>0</v>
      </c>
      <c r="AL1785">
        <v>0</v>
      </c>
      <c r="AM1785">
        <v>0</v>
      </c>
      <c r="AN1785">
        <v>0</v>
      </c>
      <c r="AO1785">
        <v>0</v>
      </c>
      <c r="AP1785" s="2">
        <v>42831</v>
      </c>
      <c r="AQ1785" t="s">
        <v>72</v>
      </c>
      <c r="AR1785" t="s">
        <v>72</v>
      </c>
      <c r="AS1785">
        <v>470</v>
      </c>
      <c r="AT1785" s="4">
        <v>42782</v>
      </c>
      <c r="AU1785" t="s">
        <v>73</v>
      </c>
      <c r="AV1785">
        <v>470</v>
      </c>
      <c r="AW1785" s="4">
        <v>42782</v>
      </c>
      <c r="BD1785">
        <v>0</v>
      </c>
      <c r="BN1785" t="s">
        <v>74</v>
      </c>
    </row>
    <row r="1786" spans="1:66">
      <c r="A1786">
        <v>104093</v>
      </c>
      <c r="B1786" t="s">
        <v>379</v>
      </c>
      <c r="C1786" s="1">
        <v>43300101</v>
      </c>
      <c r="D1786" t="s">
        <v>67</v>
      </c>
      <c r="H1786" t="str">
        <f t="shared" si="224"/>
        <v>12572900152</v>
      </c>
      <c r="I1786" t="str">
        <f t="shared" si="225"/>
        <v>06032681006</v>
      </c>
      <c r="K1786" t="str">
        <f>""</f>
        <v/>
      </c>
      <c r="M1786" t="s">
        <v>68</v>
      </c>
      <c r="N1786" t="str">
        <f t="shared" si="226"/>
        <v>FOR</v>
      </c>
      <c r="O1786" t="s">
        <v>69</v>
      </c>
      <c r="P1786" t="s">
        <v>75</v>
      </c>
      <c r="Q1786">
        <v>2016</v>
      </c>
      <c r="R1786" s="4">
        <v>42489</v>
      </c>
      <c r="S1786" s="2">
        <v>42496</v>
      </c>
      <c r="T1786" s="2">
        <v>42493</v>
      </c>
      <c r="U1786" s="4">
        <v>42553</v>
      </c>
      <c r="V1786" t="s">
        <v>71</v>
      </c>
      <c r="W1786" t="str">
        <f>"            25312324"</f>
        <v xml:space="preserve">            25312324</v>
      </c>
      <c r="X1786">
        <v>74.88</v>
      </c>
      <c r="Y1786">
        <v>0</v>
      </c>
      <c r="Z1786" s="5">
        <v>72</v>
      </c>
      <c r="AA1786" s="3">
        <v>229</v>
      </c>
      <c r="AB1786" s="5">
        <v>16488</v>
      </c>
      <c r="AC1786">
        <v>72</v>
      </c>
      <c r="AD1786">
        <v>229</v>
      </c>
      <c r="AE1786" s="1">
        <v>16488</v>
      </c>
      <c r="AF1786">
        <v>0</v>
      </c>
      <c r="AJ1786">
        <v>0</v>
      </c>
      <c r="AK1786">
        <v>0</v>
      </c>
      <c r="AL1786">
        <v>0</v>
      </c>
      <c r="AM1786">
        <v>0</v>
      </c>
      <c r="AN1786">
        <v>0</v>
      </c>
      <c r="AO1786">
        <v>0</v>
      </c>
      <c r="AP1786" s="2">
        <v>42831</v>
      </c>
      <c r="AQ1786" t="s">
        <v>72</v>
      </c>
      <c r="AR1786" t="s">
        <v>72</v>
      </c>
      <c r="AS1786">
        <v>470</v>
      </c>
      <c r="AT1786" s="4">
        <v>42782</v>
      </c>
      <c r="AU1786" t="s">
        <v>73</v>
      </c>
      <c r="AV1786">
        <v>470</v>
      </c>
      <c r="AW1786" s="4">
        <v>42782</v>
      </c>
      <c r="BD1786">
        <v>0</v>
      </c>
      <c r="BN1786" t="s">
        <v>74</v>
      </c>
    </row>
    <row r="1787" spans="1:66">
      <c r="A1787">
        <v>104093</v>
      </c>
      <c r="B1787" t="s">
        <v>379</v>
      </c>
      <c r="C1787" s="1">
        <v>43300101</v>
      </c>
      <c r="D1787" t="s">
        <v>67</v>
      </c>
      <c r="H1787" t="str">
        <f t="shared" ref="H1787:H1818" si="227">"12572900152"</f>
        <v>12572900152</v>
      </c>
      <c r="I1787" t="str">
        <f t="shared" ref="I1787:I1818" si="228">"06032681006"</f>
        <v>06032681006</v>
      </c>
      <c r="K1787" t="str">
        <f>""</f>
        <v/>
      </c>
      <c r="M1787" t="s">
        <v>68</v>
      </c>
      <c r="N1787" t="str">
        <f t="shared" si="226"/>
        <v>FOR</v>
      </c>
      <c r="O1787" t="s">
        <v>69</v>
      </c>
      <c r="P1787" t="s">
        <v>75</v>
      </c>
      <c r="Q1787">
        <v>2016</v>
      </c>
      <c r="R1787" s="4">
        <v>42489</v>
      </c>
      <c r="S1787" s="2">
        <v>42496</v>
      </c>
      <c r="T1787" s="2">
        <v>42493</v>
      </c>
      <c r="U1787" s="4">
        <v>42553</v>
      </c>
      <c r="V1787" t="s">
        <v>71</v>
      </c>
      <c r="W1787" t="str">
        <f>"            25312325"</f>
        <v xml:space="preserve">            25312325</v>
      </c>
      <c r="X1787">
        <v>74.88</v>
      </c>
      <c r="Y1787">
        <v>0</v>
      </c>
      <c r="Z1787" s="5">
        <v>72</v>
      </c>
      <c r="AA1787" s="3">
        <v>229</v>
      </c>
      <c r="AB1787" s="5">
        <v>16488</v>
      </c>
      <c r="AC1787">
        <v>72</v>
      </c>
      <c r="AD1787">
        <v>229</v>
      </c>
      <c r="AE1787" s="1">
        <v>16488</v>
      </c>
      <c r="AF1787">
        <v>0</v>
      </c>
      <c r="AJ1787">
        <v>0</v>
      </c>
      <c r="AK1787">
        <v>0</v>
      </c>
      <c r="AL1787">
        <v>0</v>
      </c>
      <c r="AM1787">
        <v>0</v>
      </c>
      <c r="AN1787">
        <v>0</v>
      </c>
      <c r="AO1787">
        <v>0</v>
      </c>
      <c r="AP1787" s="2">
        <v>42831</v>
      </c>
      <c r="AQ1787" t="s">
        <v>72</v>
      </c>
      <c r="AR1787" t="s">
        <v>72</v>
      </c>
      <c r="AS1787">
        <v>470</v>
      </c>
      <c r="AT1787" s="4">
        <v>42782</v>
      </c>
      <c r="AU1787" t="s">
        <v>73</v>
      </c>
      <c r="AV1787">
        <v>470</v>
      </c>
      <c r="AW1787" s="4">
        <v>42782</v>
      </c>
      <c r="BD1787">
        <v>0</v>
      </c>
      <c r="BN1787" t="s">
        <v>74</v>
      </c>
    </row>
    <row r="1788" spans="1:66">
      <c r="A1788">
        <v>104093</v>
      </c>
      <c r="B1788" t="s">
        <v>379</v>
      </c>
      <c r="C1788" s="1">
        <v>43300101</v>
      </c>
      <c r="D1788" t="s">
        <v>67</v>
      </c>
      <c r="H1788" t="str">
        <f t="shared" si="227"/>
        <v>12572900152</v>
      </c>
      <c r="I1788" t="str">
        <f t="shared" si="228"/>
        <v>06032681006</v>
      </c>
      <c r="K1788" t="str">
        <f>""</f>
        <v/>
      </c>
      <c r="M1788" t="s">
        <v>68</v>
      </c>
      <c r="N1788" t="str">
        <f t="shared" si="226"/>
        <v>FOR</v>
      </c>
      <c r="O1788" t="s">
        <v>69</v>
      </c>
      <c r="P1788" t="s">
        <v>75</v>
      </c>
      <c r="Q1788">
        <v>2016</v>
      </c>
      <c r="R1788" s="4">
        <v>42489</v>
      </c>
      <c r="S1788" s="2">
        <v>42494</v>
      </c>
      <c r="T1788" s="2">
        <v>42493</v>
      </c>
      <c r="U1788" s="4">
        <v>42553</v>
      </c>
      <c r="V1788" t="s">
        <v>71</v>
      </c>
      <c r="W1788" t="str">
        <f>"            25312334"</f>
        <v xml:space="preserve">            25312334</v>
      </c>
      <c r="X1788">
        <v>74.88</v>
      </c>
      <c r="Y1788">
        <v>0</v>
      </c>
      <c r="Z1788" s="5">
        <v>72</v>
      </c>
      <c r="AA1788" s="3">
        <v>229</v>
      </c>
      <c r="AB1788" s="5">
        <v>16488</v>
      </c>
      <c r="AC1788">
        <v>72</v>
      </c>
      <c r="AD1788">
        <v>229</v>
      </c>
      <c r="AE1788" s="1">
        <v>16488</v>
      </c>
      <c r="AF1788">
        <v>0</v>
      </c>
      <c r="AJ1788">
        <v>0</v>
      </c>
      <c r="AK1788">
        <v>0</v>
      </c>
      <c r="AL1788">
        <v>0</v>
      </c>
      <c r="AM1788">
        <v>0</v>
      </c>
      <c r="AN1788">
        <v>0</v>
      </c>
      <c r="AO1788">
        <v>0</v>
      </c>
      <c r="AP1788" s="2">
        <v>42831</v>
      </c>
      <c r="AQ1788" t="s">
        <v>72</v>
      </c>
      <c r="AR1788" t="s">
        <v>72</v>
      </c>
      <c r="AS1788">
        <v>470</v>
      </c>
      <c r="AT1788" s="4">
        <v>42782</v>
      </c>
      <c r="AU1788" t="s">
        <v>73</v>
      </c>
      <c r="AV1788">
        <v>470</v>
      </c>
      <c r="AW1788" s="4">
        <v>42782</v>
      </c>
      <c r="BD1788">
        <v>0</v>
      </c>
      <c r="BN1788" t="s">
        <v>74</v>
      </c>
    </row>
    <row r="1789" spans="1:66">
      <c r="A1789">
        <v>104093</v>
      </c>
      <c r="B1789" t="s">
        <v>379</v>
      </c>
      <c r="C1789" s="1">
        <v>43300101</v>
      </c>
      <c r="D1789" t="s">
        <v>67</v>
      </c>
      <c r="H1789" t="str">
        <f t="shared" si="227"/>
        <v>12572900152</v>
      </c>
      <c r="I1789" t="str">
        <f t="shared" si="228"/>
        <v>06032681006</v>
      </c>
      <c r="K1789" t="str">
        <f>""</f>
        <v/>
      </c>
      <c r="M1789" t="s">
        <v>68</v>
      </c>
      <c r="N1789" t="str">
        <f t="shared" si="226"/>
        <v>FOR</v>
      </c>
      <c r="O1789" t="s">
        <v>69</v>
      </c>
      <c r="P1789" t="s">
        <v>75</v>
      </c>
      <c r="Q1789">
        <v>2016</v>
      </c>
      <c r="R1789" s="4">
        <v>42489</v>
      </c>
      <c r="S1789" s="2">
        <v>42496</v>
      </c>
      <c r="T1789" s="2">
        <v>42493</v>
      </c>
      <c r="U1789" s="4">
        <v>42553</v>
      </c>
      <c r="V1789" t="s">
        <v>71</v>
      </c>
      <c r="W1789" t="str">
        <f>"            25312336"</f>
        <v xml:space="preserve">            25312336</v>
      </c>
      <c r="X1789">
        <v>74.88</v>
      </c>
      <c r="Y1789">
        <v>0</v>
      </c>
      <c r="Z1789" s="5">
        <v>72</v>
      </c>
      <c r="AA1789" s="3">
        <v>229</v>
      </c>
      <c r="AB1789" s="5">
        <v>16488</v>
      </c>
      <c r="AC1789">
        <v>72</v>
      </c>
      <c r="AD1789">
        <v>229</v>
      </c>
      <c r="AE1789" s="1">
        <v>16488</v>
      </c>
      <c r="AF1789">
        <v>0</v>
      </c>
      <c r="AJ1789">
        <v>0</v>
      </c>
      <c r="AK1789">
        <v>0</v>
      </c>
      <c r="AL1789">
        <v>0</v>
      </c>
      <c r="AM1789">
        <v>0</v>
      </c>
      <c r="AN1789">
        <v>0</v>
      </c>
      <c r="AO1789">
        <v>0</v>
      </c>
      <c r="AP1789" s="2">
        <v>42831</v>
      </c>
      <c r="AQ1789" t="s">
        <v>72</v>
      </c>
      <c r="AR1789" t="s">
        <v>72</v>
      </c>
      <c r="AS1789">
        <v>470</v>
      </c>
      <c r="AT1789" s="4">
        <v>42782</v>
      </c>
      <c r="AU1789" t="s">
        <v>73</v>
      </c>
      <c r="AV1789">
        <v>470</v>
      </c>
      <c r="AW1789" s="4">
        <v>42782</v>
      </c>
      <c r="BD1789">
        <v>0</v>
      </c>
      <c r="BN1789" t="s">
        <v>74</v>
      </c>
    </row>
    <row r="1790" spans="1:66">
      <c r="A1790">
        <v>104093</v>
      </c>
      <c r="B1790" t="s">
        <v>379</v>
      </c>
      <c r="C1790" s="1">
        <v>43300101</v>
      </c>
      <c r="D1790" t="s">
        <v>67</v>
      </c>
      <c r="H1790" t="str">
        <f t="shared" si="227"/>
        <v>12572900152</v>
      </c>
      <c r="I1790" t="str">
        <f t="shared" si="228"/>
        <v>06032681006</v>
      </c>
      <c r="K1790" t="str">
        <f>""</f>
        <v/>
      </c>
      <c r="M1790" t="s">
        <v>68</v>
      </c>
      <c r="N1790" t="str">
        <f t="shared" si="226"/>
        <v>FOR</v>
      </c>
      <c r="O1790" t="s">
        <v>69</v>
      </c>
      <c r="P1790" t="s">
        <v>75</v>
      </c>
      <c r="Q1790">
        <v>2016</v>
      </c>
      <c r="R1790" s="4">
        <v>42489</v>
      </c>
      <c r="S1790" s="2">
        <v>42496</v>
      </c>
      <c r="T1790" s="2">
        <v>42493</v>
      </c>
      <c r="U1790" s="4">
        <v>42553</v>
      </c>
      <c r="V1790" t="s">
        <v>71</v>
      </c>
      <c r="W1790" t="str">
        <f>"            25312338"</f>
        <v xml:space="preserve">            25312338</v>
      </c>
      <c r="X1790">
        <v>74.88</v>
      </c>
      <c r="Y1790">
        <v>0</v>
      </c>
      <c r="Z1790" s="5">
        <v>72</v>
      </c>
      <c r="AA1790" s="3">
        <v>229</v>
      </c>
      <c r="AB1790" s="5">
        <v>16488</v>
      </c>
      <c r="AC1790">
        <v>72</v>
      </c>
      <c r="AD1790">
        <v>229</v>
      </c>
      <c r="AE1790" s="1">
        <v>16488</v>
      </c>
      <c r="AF1790">
        <v>0</v>
      </c>
      <c r="AJ1790">
        <v>0</v>
      </c>
      <c r="AK1790">
        <v>0</v>
      </c>
      <c r="AL1790">
        <v>0</v>
      </c>
      <c r="AM1790">
        <v>0</v>
      </c>
      <c r="AN1790">
        <v>0</v>
      </c>
      <c r="AO1790">
        <v>0</v>
      </c>
      <c r="AP1790" s="2">
        <v>42831</v>
      </c>
      <c r="AQ1790" t="s">
        <v>72</v>
      </c>
      <c r="AR1790" t="s">
        <v>72</v>
      </c>
      <c r="AS1790">
        <v>470</v>
      </c>
      <c r="AT1790" s="4">
        <v>42782</v>
      </c>
      <c r="AU1790" t="s">
        <v>73</v>
      </c>
      <c r="AV1790">
        <v>470</v>
      </c>
      <c r="AW1790" s="4">
        <v>42782</v>
      </c>
      <c r="BD1790">
        <v>0</v>
      </c>
      <c r="BN1790" t="s">
        <v>74</v>
      </c>
    </row>
    <row r="1791" spans="1:66">
      <c r="A1791">
        <v>104093</v>
      </c>
      <c r="B1791" t="s">
        <v>379</v>
      </c>
      <c r="C1791" s="1">
        <v>43300101</v>
      </c>
      <c r="D1791" t="s">
        <v>67</v>
      </c>
      <c r="H1791" t="str">
        <f t="shared" si="227"/>
        <v>12572900152</v>
      </c>
      <c r="I1791" t="str">
        <f t="shared" si="228"/>
        <v>06032681006</v>
      </c>
      <c r="K1791" t="str">
        <f>""</f>
        <v/>
      </c>
      <c r="M1791" t="s">
        <v>68</v>
      </c>
      <c r="N1791" t="str">
        <f t="shared" si="226"/>
        <v>FOR</v>
      </c>
      <c r="O1791" t="s">
        <v>69</v>
      </c>
      <c r="P1791" t="s">
        <v>75</v>
      </c>
      <c r="Q1791">
        <v>2016</v>
      </c>
      <c r="R1791" s="4">
        <v>42489</v>
      </c>
      <c r="S1791" s="2">
        <v>42496</v>
      </c>
      <c r="T1791" s="2">
        <v>42493</v>
      </c>
      <c r="U1791" s="4">
        <v>42553</v>
      </c>
      <c r="V1791" t="s">
        <v>71</v>
      </c>
      <c r="W1791" t="str">
        <f>"            25312339"</f>
        <v xml:space="preserve">            25312339</v>
      </c>
      <c r="X1791">
        <v>707.62</v>
      </c>
      <c r="Y1791">
        <v>0</v>
      </c>
      <c r="Z1791" s="5">
        <v>680.4</v>
      </c>
      <c r="AA1791" s="3">
        <v>229</v>
      </c>
      <c r="AB1791" s="5">
        <v>155811.6</v>
      </c>
      <c r="AC1791">
        <v>680.4</v>
      </c>
      <c r="AD1791">
        <v>229</v>
      </c>
      <c r="AE1791" s="1">
        <v>155811.6</v>
      </c>
      <c r="AF1791">
        <v>0</v>
      </c>
      <c r="AJ1791">
        <v>0</v>
      </c>
      <c r="AK1791">
        <v>0</v>
      </c>
      <c r="AL1791">
        <v>0</v>
      </c>
      <c r="AM1791">
        <v>0</v>
      </c>
      <c r="AN1791">
        <v>0</v>
      </c>
      <c r="AO1791">
        <v>0</v>
      </c>
      <c r="AP1791" s="2">
        <v>42831</v>
      </c>
      <c r="AQ1791" t="s">
        <v>72</v>
      </c>
      <c r="AR1791" t="s">
        <v>72</v>
      </c>
      <c r="AS1791">
        <v>470</v>
      </c>
      <c r="AT1791" s="4">
        <v>42782</v>
      </c>
      <c r="AU1791" t="s">
        <v>73</v>
      </c>
      <c r="AV1791">
        <v>470</v>
      </c>
      <c r="AW1791" s="4">
        <v>42782</v>
      </c>
      <c r="BD1791">
        <v>0</v>
      </c>
      <c r="BN1791" t="s">
        <v>74</v>
      </c>
    </row>
    <row r="1792" spans="1:66">
      <c r="A1792">
        <v>104093</v>
      </c>
      <c r="B1792" t="s">
        <v>379</v>
      </c>
      <c r="C1792" s="1">
        <v>43300101</v>
      </c>
      <c r="D1792" t="s">
        <v>67</v>
      </c>
      <c r="H1792" t="str">
        <f t="shared" si="227"/>
        <v>12572900152</v>
      </c>
      <c r="I1792" t="str">
        <f t="shared" si="228"/>
        <v>06032681006</v>
      </c>
      <c r="K1792" t="str">
        <f>""</f>
        <v/>
      </c>
      <c r="M1792" t="s">
        <v>68</v>
      </c>
      <c r="N1792" t="str">
        <f t="shared" si="226"/>
        <v>FOR</v>
      </c>
      <c r="O1792" t="s">
        <v>69</v>
      </c>
      <c r="P1792" t="s">
        <v>75</v>
      </c>
      <c r="Q1792">
        <v>2016</v>
      </c>
      <c r="R1792" s="4">
        <v>42489</v>
      </c>
      <c r="S1792" s="2">
        <v>42494</v>
      </c>
      <c r="T1792" s="2">
        <v>42493</v>
      </c>
      <c r="U1792" s="4">
        <v>42553</v>
      </c>
      <c r="V1792" t="s">
        <v>71</v>
      </c>
      <c r="W1792" t="str">
        <f>"            25312340"</f>
        <v xml:space="preserve">            25312340</v>
      </c>
      <c r="X1792">
        <v>74.88</v>
      </c>
      <c r="Y1792">
        <v>0</v>
      </c>
      <c r="Z1792" s="5">
        <v>72</v>
      </c>
      <c r="AA1792" s="3">
        <v>229</v>
      </c>
      <c r="AB1792" s="5">
        <v>16488</v>
      </c>
      <c r="AC1792">
        <v>72</v>
      </c>
      <c r="AD1792">
        <v>229</v>
      </c>
      <c r="AE1792" s="1">
        <v>16488</v>
      </c>
      <c r="AF1792">
        <v>0</v>
      </c>
      <c r="AJ1792">
        <v>0</v>
      </c>
      <c r="AK1792">
        <v>0</v>
      </c>
      <c r="AL1792">
        <v>0</v>
      </c>
      <c r="AM1792">
        <v>0</v>
      </c>
      <c r="AN1792">
        <v>0</v>
      </c>
      <c r="AO1792">
        <v>0</v>
      </c>
      <c r="AP1792" s="2">
        <v>42831</v>
      </c>
      <c r="AQ1792" t="s">
        <v>72</v>
      </c>
      <c r="AR1792" t="s">
        <v>72</v>
      </c>
      <c r="AS1792">
        <v>470</v>
      </c>
      <c r="AT1792" s="4">
        <v>42782</v>
      </c>
      <c r="AU1792" t="s">
        <v>73</v>
      </c>
      <c r="AV1792">
        <v>470</v>
      </c>
      <c r="AW1792" s="4">
        <v>42782</v>
      </c>
      <c r="BD1792">
        <v>0</v>
      </c>
      <c r="BN1792" t="s">
        <v>74</v>
      </c>
    </row>
    <row r="1793" spans="1:66">
      <c r="A1793">
        <v>104093</v>
      </c>
      <c r="B1793" t="s">
        <v>379</v>
      </c>
      <c r="C1793" s="1">
        <v>43300101</v>
      </c>
      <c r="D1793" t="s">
        <v>67</v>
      </c>
      <c r="H1793" t="str">
        <f t="shared" si="227"/>
        <v>12572900152</v>
      </c>
      <c r="I1793" t="str">
        <f t="shared" si="228"/>
        <v>06032681006</v>
      </c>
      <c r="K1793" t="str">
        <f>""</f>
        <v/>
      </c>
      <c r="M1793" t="s">
        <v>68</v>
      </c>
      <c r="N1793" t="str">
        <f t="shared" si="226"/>
        <v>FOR</v>
      </c>
      <c r="O1793" t="s">
        <v>69</v>
      </c>
      <c r="P1793" t="s">
        <v>75</v>
      </c>
      <c r="Q1793">
        <v>2016</v>
      </c>
      <c r="R1793" s="4">
        <v>42489</v>
      </c>
      <c r="S1793" s="2">
        <v>42496</v>
      </c>
      <c r="T1793" s="2">
        <v>42493</v>
      </c>
      <c r="U1793" s="4">
        <v>42553</v>
      </c>
      <c r="V1793" t="s">
        <v>71</v>
      </c>
      <c r="W1793" t="str">
        <f>"            25312341"</f>
        <v xml:space="preserve">            25312341</v>
      </c>
      <c r="X1793">
        <v>252.72</v>
      </c>
      <c r="Y1793">
        <v>0</v>
      </c>
      <c r="Z1793" s="5">
        <v>243</v>
      </c>
      <c r="AA1793" s="3">
        <v>229</v>
      </c>
      <c r="AB1793" s="5">
        <v>55647</v>
      </c>
      <c r="AC1793">
        <v>243</v>
      </c>
      <c r="AD1793">
        <v>229</v>
      </c>
      <c r="AE1793" s="1">
        <v>55647</v>
      </c>
      <c r="AF1793">
        <v>0</v>
      </c>
      <c r="AJ1793">
        <v>0</v>
      </c>
      <c r="AK1793">
        <v>0</v>
      </c>
      <c r="AL1793">
        <v>0</v>
      </c>
      <c r="AM1793">
        <v>0</v>
      </c>
      <c r="AN1793">
        <v>0</v>
      </c>
      <c r="AO1793">
        <v>0</v>
      </c>
      <c r="AP1793" s="2">
        <v>42831</v>
      </c>
      <c r="AQ1793" t="s">
        <v>72</v>
      </c>
      <c r="AR1793" t="s">
        <v>72</v>
      </c>
      <c r="AS1793">
        <v>470</v>
      </c>
      <c r="AT1793" s="4">
        <v>42782</v>
      </c>
      <c r="AU1793" t="s">
        <v>73</v>
      </c>
      <c r="AV1793">
        <v>470</v>
      </c>
      <c r="AW1793" s="4">
        <v>42782</v>
      </c>
      <c r="BD1793">
        <v>0</v>
      </c>
      <c r="BN1793" t="s">
        <v>74</v>
      </c>
    </row>
    <row r="1794" spans="1:66">
      <c r="A1794">
        <v>104093</v>
      </c>
      <c r="B1794" t="s">
        <v>379</v>
      </c>
      <c r="C1794" s="1">
        <v>43300101</v>
      </c>
      <c r="D1794" t="s">
        <v>67</v>
      </c>
      <c r="H1794" t="str">
        <f t="shared" si="227"/>
        <v>12572900152</v>
      </c>
      <c r="I1794" t="str">
        <f t="shared" si="228"/>
        <v>06032681006</v>
      </c>
      <c r="K1794" t="str">
        <f>""</f>
        <v/>
      </c>
      <c r="M1794" t="s">
        <v>68</v>
      </c>
      <c r="N1794" t="str">
        <f t="shared" si="226"/>
        <v>FOR</v>
      </c>
      <c r="O1794" t="s">
        <v>69</v>
      </c>
      <c r="P1794" t="s">
        <v>75</v>
      </c>
      <c r="Q1794">
        <v>2016</v>
      </c>
      <c r="R1794" s="4">
        <v>42489</v>
      </c>
      <c r="S1794" s="2">
        <v>42496</v>
      </c>
      <c r="T1794" s="2">
        <v>42493</v>
      </c>
      <c r="U1794" s="4">
        <v>42553</v>
      </c>
      <c r="V1794" t="s">
        <v>71</v>
      </c>
      <c r="W1794" t="str">
        <f>"            25312342"</f>
        <v xml:space="preserve">            25312342</v>
      </c>
      <c r="X1794">
        <v>74.88</v>
      </c>
      <c r="Y1794">
        <v>0</v>
      </c>
      <c r="Z1794" s="5">
        <v>72</v>
      </c>
      <c r="AA1794" s="3">
        <v>229</v>
      </c>
      <c r="AB1794" s="5">
        <v>16488</v>
      </c>
      <c r="AC1794">
        <v>72</v>
      </c>
      <c r="AD1794">
        <v>229</v>
      </c>
      <c r="AE1794" s="1">
        <v>16488</v>
      </c>
      <c r="AF1794">
        <v>0</v>
      </c>
      <c r="AJ1794">
        <v>0</v>
      </c>
      <c r="AK1794">
        <v>0</v>
      </c>
      <c r="AL1794">
        <v>0</v>
      </c>
      <c r="AM1794">
        <v>0</v>
      </c>
      <c r="AN1794">
        <v>0</v>
      </c>
      <c r="AO1794">
        <v>0</v>
      </c>
      <c r="AP1794" s="2">
        <v>42831</v>
      </c>
      <c r="AQ1794" t="s">
        <v>72</v>
      </c>
      <c r="AR1794" t="s">
        <v>72</v>
      </c>
      <c r="AS1794">
        <v>470</v>
      </c>
      <c r="AT1794" s="4">
        <v>42782</v>
      </c>
      <c r="AU1794" t="s">
        <v>73</v>
      </c>
      <c r="AV1794">
        <v>470</v>
      </c>
      <c r="AW1794" s="4">
        <v>42782</v>
      </c>
      <c r="BD1794">
        <v>0</v>
      </c>
      <c r="BN1794" t="s">
        <v>74</v>
      </c>
    </row>
    <row r="1795" spans="1:66">
      <c r="A1795">
        <v>104093</v>
      </c>
      <c r="B1795" t="s">
        <v>379</v>
      </c>
      <c r="C1795" s="1">
        <v>43300101</v>
      </c>
      <c r="D1795" t="s">
        <v>67</v>
      </c>
      <c r="H1795" t="str">
        <f t="shared" si="227"/>
        <v>12572900152</v>
      </c>
      <c r="I1795" t="str">
        <f t="shared" si="228"/>
        <v>06032681006</v>
      </c>
      <c r="K1795" t="str">
        <f>""</f>
        <v/>
      </c>
      <c r="M1795" t="s">
        <v>68</v>
      </c>
      <c r="N1795" t="str">
        <f t="shared" si="226"/>
        <v>FOR</v>
      </c>
      <c r="O1795" t="s">
        <v>69</v>
      </c>
      <c r="P1795" t="s">
        <v>75</v>
      </c>
      <c r="Q1795">
        <v>2016</v>
      </c>
      <c r="R1795" s="4">
        <v>42489</v>
      </c>
      <c r="S1795" s="2">
        <v>42494</v>
      </c>
      <c r="T1795" s="2">
        <v>42493</v>
      </c>
      <c r="U1795" s="4">
        <v>42553</v>
      </c>
      <c r="V1795" t="s">
        <v>71</v>
      </c>
      <c r="W1795" t="str">
        <f>"            25312343"</f>
        <v xml:space="preserve">            25312343</v>
      </c>
      <c r="X1795">
        <v>74.88</v>
      </c>
      <c r="Y1795">
        <v>0</v>
      </c>
      <c r="Z1795" s="5">
        <v>72</v>
      </c>
      <c r="AA1795" s="3">
        <v>229</v>
      </c>
      <c r="AB1795" s="5">
        <v>16488</v>
      </c>
      <c r="AC1795">
        <v>72</v>
      </c>
      <c r="AD1795">
        <v>229</v>
      </c>
      <c r="AE1795" s="1">
        <v>16488</v>
      </c>
      <c r="AF1795">
        <v>0</v>
      </c>
      <c r="AJ1795">
        <v>0</v>
      </c>
      <c r="AK1795">
        <v>0</v>
      </c>
      <c r="AL1795">
        <v>0</v>
      </c>
      <c r="AM1795">
        <v>0</v>
      </c>
      <c r="AN1795">
        <v>0</v>
      </c>
      <c r="AO1795">
        <v>0</v>
      </c>
      <c r="AP1795" s="2">
        <v>42831</v>
      </c>
      <c r="AQ1795" t="s">
        <v>72</v>
      </c>
      <c r="AR1795" t="s">
        <v>72</v>
      </c>
      <c r="AS1795">
        <v>470</v>
      </c>
      <c r="AT1795" s="4">
        <v>42782</v>
      </c>
      <c r="AU1795" t="s">
        <v>73</v>
      </c>
      <c r="AV1795">
        <v>470</v>
      </c>
      <c r="AW1795" s="4">
        <v>42782</v>
      </c>
      <c r="BD1795">
        <v>0</v>
      </c>
      <c r="BN1795" t="s">
        <v>74</v>
      </c>
    </row>
    <row r="1796" spans="1:66">
      <c r="A1796">
        <v>104093</v>
      </c>
      <c r="B1796" t="s">
        <v>379</v>
      </c>
      <c r="C1796" s="1">
        <v>43300101</v>
      </c>
      <c r="D1796" t="s">
        <v>67</v>
      </c>
      <c r="H1796" t="str">
        <f t="shared" si="227"/>
        <v>12572900152</v>
      </c>
      <c r="I1796" t="str">
        <f t="shared" si="228"/>
        <v>06032681006</v>
      </c>
      <c r="K1796" t="str">
        <f>""</f>
        <v/>
      </c>
      <c r="M1796" t="s">
        <v>68</v>
      </c>
      <c r="N1796" t="str">
        <f t="shared" si="226"/>
        <v>FOR</v>
      </c>
      <c r="O1796" t="s">
        <v>69</v>
      </c>
      <c r="P1796" t="s">
        <v>75</v>
      </c>
      <c r="Q1796">
        <v>2016</v>
      </c>
      <c r="R1796" s="4">
        <v>42489</v>
      </c>
      <c r="S1796" s="2">
        <v>42496</v>
      </c>
      <c r="T1796" s="2">
        <v>42493</v>
      </c>
      <c r="U1796" s="4">
        <v>42553</v>
      </c>
      <c r="V1796" t="s">
        <v>71</v>
      </c>
      <c r="W1796" t="str">
        <f>"            25312344"</f>
        <v xml:space="preserve">            25312344</v>
      </c>
      <c r="X1796">
        <v>74.88</v>
      </c>
      <c r="Y1796">
        <v>0</v>
      </c>
      <c r="Z1796" s="5">
        <v>72</v>
      </c>
      <c r="AA1796" s="3">
        <v>229</v>
      </c>
      <c r="AB1796" s="5">
        <v>16488</v>
      </c>
      <c r="AC1796">
        <v>72</v>
      </c>
      <c r="AD1796">
        <v>229</v>
      </c>
      <c r="AE1796" s="1">
        <v>16488</v>
      </c>
      <c r="AF1796">
        <v>0</v>
      </c>
      <c r="AJ1796">
        <v>0</v>
      </c>
      <c r="AK1796">
        <v>0</v>
      </c>
      <c r="AL1796">
        <v>0</v>
      </c>
      <c r="AM1796">
        <v>0</v>
      </c>
      <c r="AN1796">
        <v>0</v>
      </c>
      <c r="AO1796">
        <v>0</v>
      </c>
      <c r="AP1796" s="2">
        <v>42831</v>
      </c>
      <c r="AQ1796" t="s">
        <v>72</v>
      </c>
      <c r="AR1796" t="s">
        <v>72</v>
      </c>
      <c r="AS1796">
        <v>470</v>
      </c>
      <c r="AT1796" s="4">
        <v>42782</v>
      </c>
      <c r="AU1796" t="s">
        <v>73</v>
      </c>
      <c r="AV1796">
        <v>470</v>
      </c>
      <c r="AW1796" s="4">
        <v>42782</v>
      </c>
      <c r="BD1796">
        <v>0</v>
      </c>
      <c r="BN1796" t="s">
        <v>74</v>
      </c>
    </row>
    <row r="1797" spans="1:66">
      <c r="A1797">
        <v>104093</v>
      </c>
      <c r="B1797" t="s">
        <v>379</v>
      </c>
      <c r="C1797" s="1">
        <v>43300101</v>
      </c>
      <c r="D1797" t="s">
        <v>67</v>
      </c>
      <c r="H1797" t="str">
        <f t="shared" si="227"/>
        <v>12572900152</v>
      </c>
      <c r="I1797" t="str">
        <f t="shared" si="228"/>
        <v>06032681006</v>
      </c>
      <c r="K1797" t="str">
        <f>""</f>
        <v/>
      </c>
      <c r="M1797" t="s">
        <v>68</v>
      </c>
      <c r="N1797" t="str">
        <f t="shared" si="226"/>
        <v>FOR</v>
      </c>
      <c r="O1797" t="s">
        <v>69</v>
      </c>
      <c r="P1797" t="s">
        <v>75</v>
      </c>
      <c r="Q1797">
        <v>2016</v>
      </c>
      <c r="R1797" s="4">
        <v>42489</v>
      </c>
      <c r="S1797" s="2">
        <v>42494</v>
      </c>
      <c r="T1797" s="2">
        <v>42493</v>
      </c>
      <c r="U1797" s="4">
        <v>42553</v>
      </c>
      <c r="V1797" t="s">
        <v>71</v>
      </c>
      <c r="W1797" t="str">
        <f>"            25312346"</f>
        <v xml:space="preserve">            25312346</v>
      </c>
      <c r="X1797">
        <v>74.88</v>
      </c>
      <c r="Y1797">
        <v>0</v>
      </c>
      <c r="Z1797" s="5">
        <v>72</v>
      </c>
      <c r="AA1797" s="3">
        <v>229</v>
      </c>
      <c r="AB1797" s="5">
        <v>16488</v>
      </c>
      <c r="AC1797">
        <v>72</v>
      </c>
      <c r="AD1797">
        <v>229</v>
      </c>
      <c r="AE1797" s="1">
        <v>16488</v>
      </c>
      <c r="AF1797">
        <v>0</v>
      </c>
      <c r="AJ1797">
        <v>0</v>
      </c>
      <c r="AK1797">
        <v>0</v>
      </c>
      <c r="AL1797">
        <v>0</v>
      </c>
      <c r="AM1797">
        <v>0</v>
      </c>
      <c r="AN1797">
        <v>0</v>
      </c>
      <c r="AO1797">
        <v>0</v>
      </c>
      <c r="AP1797" s="2">
        <v>42831</v>
      </c>
      <c r="AQ1797" t="s">
        <v>72</v>
      </c>
      <c r="AR1797" t="s">
        <v>72</v>
      </c>
      <c r="AS1797">
        <v>470</v>
      </c>
      <c r="AT1797" s="4">
        <v>42782</v>
      </c>
      <c r="AU1797" t="s">
        <v>73</v>
      </c>
      <c r="AV1797">
        <v>470</v>
      </c>
      <c r="AW1797" s="4">
        <v>42782</v>
      </c>
      <c r="BD1797">
        <v>0</v>
      </c>
      <c r="BN1797" t="s">
        <v>74</v>
      </c>
    </row>
    <row r="1798" spans="1:66">
      <c r="A1798">
        <v>104093</v>
      </c>
      <c r="B1798" t="s">
        <v>379</v>
      </c>
      <c r="C1798" s="1">
        <v>43300101</v>
      </c>
      <c r="D1798" t="s">
        <v>67</v>
      </c>
      <c r="H1798" t="str">
        <f t="shared" si="227"/>
        <v>12572900152</v>
      </c>
      <c r="I1798" t="str">
        <f t="shared" si="228"/>
        <v>06032681006</v>
      </c>
      <c r="K1798" t="str">
        <f>""</f>
        <v/>
      </c>
      <c r="M1798" t="s">
        <v>68</v>
      </c>
      <c r="N1798" t="str">
        <f t="shared" si="226"/>
        <v>FOR</v>
      </c>
      <c r="O1798" t="s">
        <v>69</v>
      </c>
      <c r="P1798" t="s">
        <v>75</v>
      </c>
      <c r="Q1798">
        <v>2016</v>
      </c>
      <c r="R1798" s="4">
        <v>42489</v>
      </c>
      <c r="S1798" s="2">
        <v>42496</v>
      </c>
      <c r="T1798" s="2">
        <v>42493</v>
      </c>
      <c r="U1798" s="4">
        <v>42553</v>
      </c>
      <c r="V1798" t="s">
        <v>71</v>
      </c>
      <c r="W1798" t="str">
        <f>"            25312347"</f>
        <v xml:space="preserve">            25312347</v>
      </c>
      <c r="X1798">
        <v>936</v>
      </c>
      <c r="Y1798">
        <v>0</v>
      </c>
      <c r="Z1798" s="5">
        <v>900</v>
      </c>
      <c r="AA1798" s="3">
        <v>229</v>
      </c>
      <c r="AB1798" s="5">
        <v>206100</v>
      </c>
      <c r="AC1798">
        <v>900</v>
      </c>
      <c r="AD1798">
        <v>229</v>
      </c>
      <c r="AE1798" s="1">
        <v>206100</v>
      </c>
      <c r="AF1798">
        <v>0</v>
      </c>
      <c r="AJ1798">
        <v>0</v>
      </c>
      <c r="AK1798">
        <v>0</v>
      </c>
      <c r="AL1798">
        <v>0</v>
      </c>
      <c r="AM1798">
        <v>0</v>
      </c>
      <c r="AN1798">
        <v>0</v>
      </c>
      <c r="AO1798">
        <v>0</v>
      </c>
      <c r="AP1798" s="2">
        <v>42831</v>
      </c>
      <c r="AQ1798" t="s">
        <v>72</v>
      </c>
      <c r="AR1798" t="s">
        <v>72</v>
      </c>
      <c r="AS1798">
        <v>470</v>
      </c>
      <c r="AT1798" s="4">
        <v>42782</v>
      </c>
      <c r="AU1798" t="s">
        <v>73</v>
      </c>
      <c r="AV1798">
        <v>470</v>
      </c>
      <c r="AW1798" s="4">
        <v>42782</v>
      </c>
      <c r="BD1798">
        <v>0</v>
      </c>
      <c r="BN1798" t="s">
        <v>74</v>
      </c>
    </row>
    <row r="1799" spans="1:66">
      <c r="A1799">
        <v>104093</v>
      </c>
      <c r="B1799" t="s">
        <v>379</v>
      </c>
      <c r="C1799" s="1">
        <v>43300101</v>
      </c>
      <c r="D1799" t="s">
        <v>67</v>
      </c>
      <c r="H1799" t="str">
        <f t="shared" si="227"/>
        <v>12572900152</v>
      </c>
      <c r="I1799" t="str">
        <f t="shared" si="228"/>
        <v>06032681006</v>
      </c>
      <c r="K1799" t="str">
        <f>""</f>
        <v/>
      </c>
      <c r="M1799" t="s">
        <v>68</v>
      </c>
      <c r="N1799" t="str">
        <f t="shared" si="226"/>
        <v>FOR</v>
      </c>
      <c r="O1799" t="s">
        <v>69</v>
      </c>
      <c r="P1799" t="s">
        <v>75</v>
      </c>
      <c r="Q1799">
        <v>2016</v>
      </c>
      <c r="R1799" s="4">
        <v>42489</v>
      </c>
      <c r="S1799" s="2">
        <v>42496</v>
      </c>
      <c r="T1799" s="2">
        <v>42493</v>
      </c>
      <c r="U1799" s="4">
        <v>42553</v>
      </c>
      <c r="V1799" t="s">
        <v>71</v>
      </c>
      <c r="W1799" t="str">
        <f>"            25312349"</f>
        <v xml:space="preserve">            25312349</v>
      </c>
      <c r="X1799">
        <v>74.88</v>
      </c>
      <c r="Y1799">
        <v>0</v>
      </c>
      <c r="Z1799" s="5">
        <v>72</v>
      </c>
      <c r="AA1799" s="3">
        <v>229</v>
      </c>
      <c r="AB1799" s="5">
        <v>16488</v>
      </c>
      <c r="AC1799">
        <v>72</v>
      </c>
      <c r="AD1799">
        <v>229</v>
      </c>
      <c r="AE1799" s="1">
        <v>16488</v>
      </c>
      <c r="AF1799">
        <v>0</v>
      </c>
      <c r="AJ1799">
        <v>0</v>
      </c>
      <c r="AK1799">
        <v>0</v>
      </c>
      <c r="AL1799">
        <v>0</v>
      </c>
      <c r="AM1799">
        <v>0</v>
      </c>
      <c r="AN1799">
        <v>0</v>
      </c>
      <c r="AO1799">
        <v>0</v>
      </c>
      <c r="AP1799" s="2">
        <v>42831</v>
      </c>
      <c r="AQ1799" t="s">
        <v>72</v>
      </c>
      <c r="AR1799" t="s">
        <v>72</v>
      </c>
      <c r="AS1799">
        <v>470</v>
      </c>
      <c r="AT1799" s="4">
        <v>42782</v>
      </c>
      <c r="AU1799" t="s">
        <v>73</v>
      </c>
      <c r="AV1799">
        <v>470</v>
      </c>
      <c r="AW1799" s="4">
        <v>42782</v>
      </c>
      <c r="BD1799">
        <v>0</v>
      </c>
      <c r="BN1799" t="s">
        <v>74</v>
      </c>
    </row>
    <row r="1800" spans="1:66">
      <c r="A1800">
        <v>104093</v>
      </c>
      <c r="B1800" t="s">
        <v>379</v>
      </c>
      <c r="C1800" s="1">
        <v>43300101</v>
      </c>
      <c r="D1800" t="s">
        <v>67</v>
      </c>
      <c r="H1800" t="str">
        <f t="shared" si="227"/>
        <v>12572900152</v>
      </c>
      <c r="I1800" t="str">
        <f t="shared" si="228"/>
        <v>06032681006</v>
      </c>
      <c r="K1800" t="str">
        <f>""</f>
        <v/>
      </c>
      <c r="M1800" t="s">
        <v>68</v>
      </c>
      <c r="N1800" t="str">
        <f t="shared" si="226"/>
        <v>FOR</v>
      </c>
      <c r="O1800" t="s">
        <v>69</v>
      </c>
      <c r="P1800" t="s">
        <v>75</v>
      </c>
      <c r="Q1800">
        <v>2016</v>
      </c>
      <c r="R1800" s="4">
        <v>42489</v>
      </c>
      <c r="S1800" s="2">
        <v>42494</v>
      </c>
      <c r="T1800" s="2">
        <v>42493</v>
      </c>
      <c r="U1800" s="4">
        <v>42553</v>
      </c>
      <c r="V1800" t="s">
        <v>71</v>
      </c>
      <c r="W1800" t="str">
        <f>"            25312350"</f>
        <v xml:space="preserve">            25312350</v>
      </c>
      <c r="X1800">
        <v>403.42</v>
      </c>
      <c r="Y1800">
        <v>0</v>
      </c>
      <c r="Z1800" s="5">
        <v>387.9</v>
      </c>
      <c r="AA1800" s="3">
        <v>229</v>
      </c>
      <c r="AB1800" s="5">
        <v>88829.1</v>
      </c>
      <c r="AC1800">
        <v>387.9</v>
      </c>
      <c r="AD1800">
        <v>229</v>
      </c>
      <c r="AE1800" s="1">
        <v>88829.1</v>
      </c>
      <c r="AF1800">
        <v>0</v>
      </c>
      <c r="AJ1800">
        <v>0</v>
      </c>
      <c r="AK1800">
        <v>0</v>
      </c>
      <c r="AL1800">
        <v>0</v>
      </c>
      <c r="AM1800">
        <v>0</v>
      </c>
      <c r="AN1800">
        <v>0</v>
      </c>
      <c r="AO1800">
        <v>0</v>
      </c>
      <c r="AP1800" s="2">
        <v>42831</v>
      </c>
      <c r="AQ1800" t="s">
        <v>72</v>
      </c>
      <c r="AR1800" t="s">
        <v>72</v>
      </c>
      <c r="AS1800">
        <v>470</v>
      </c>
      <c r="AT1800" s="4">
        <v>42782</v>
      </c>
      <c r="AU1800" t="s">
        <v>73</v>
      </c>
      <c r="AV1800">
        <v>470</v>
      </c>
      <c r="AW1800" s="4">
        <v>42782</v>
      </c>
      <c r="BD1800">
        <v>0</v>
      </c>
      <c r="BN1800" t="s">
        <v>74</v>
      </c>
    </row>
    <row r="1801" spans="1:66">
      <c r="A1801">
        <v>104093</v>
      </c>
      <c r="B1801" t="s">
        <v>379</v>
      </c>
      <c r="C1801" s="1">
        <v>43300101</v>
      </c>
      <c r="D1801" t="s">
        <v>67</v>
      </c>
      <c r="H1801" t="str">
        <f t="shared" si="227"/>
        <v>12572900152</v>
      </c>
      <c r="I1801" t="str">
        <f t="shared" si="228"/>
        <v>06032681006</v>
      </c>
      <c r="K1801" t="str">
        <f>""</f>
        <v/>
      </c>
      <c r="M1801" t="s">
        <v>68</v>
      </c>
      <c r="N1801" t="str">
        <f t="shared" si="226"/>
        <v>FOR</v>
      </c>
      <c r="O1801" t="s">
        <v>69</v>
      </c>
      <c r="P1801" t="s">
        <v>75</v>
      </c>
      <c r="Q1801">
        <v>2016</v>
      </c>
      <c r="R1801" s="4">
        <v>42489</v>
      </c>
      <c r="S1801" s="2">
        <v>42496</v>
      </c>
      <c r="T1801" s="2">
        <v>42493</v>
      </c>
      <c r="U1801" s="4">
        <v>42553</v>
      </c>
      <c r="V1801" t="s">
        <v>71</v>
      </c>
      <c r="W1801" t="str">
        <f>"            25312352"</f>
        <v xml:space="preserve">            25312352</v>
      </c>
      <c r="X1801">
        <v>74.88</v>
      </c>
      <c r="Y1801">
        <v>0</v>
      </c>
      <c r="Z1801" s="5">
        <v>72</v>
      </c>
      <c r="AA1801" s="3">
        <v>229</v>
      </c>
      <c r="AB1801" s="5">
        <v>16488</v>
      </c>
      <c r="AC1801">
        <v>72</v>
      </c>
      <c r="AD1801">
        <v>229</v>
      </c>
      <c r="AE1801" s="1">
        <v>16488</v>
      </c>
      <c r="AF1801">
        <v>0</v>
      </c>
      <c r="AJ1801">
        <v>0</v>
      </c>
      <c r="AK1801">
        <v>0</v>
      </c>
      <c r="AL1801">
        <v>0</v>
      </c>
      <c r="AM1801">
        <v>0</v>
      </c>
      <c r="AN1801">
        <v>0</v>
      </c>
      <c r="AO1801">
        <v>0</v>
      </c>
      <c r="AP1801" s="2">
        <v>42831</v>
      </c>
      <c r="AQ1801" t="s">
        <v>72</v>
      </c>
      <c r="AR1801" t="s">
        <v>72</v>
      </c>
      <c r="AS1801">
        <v>470</v>
      </c>
      <c r="AT1801" s="4">
        <v>42782</v>
      </c>
      <c r="AU1801" t="s">
        <v>73</v>
      </c>
      <c r="AV1801">
        <v>470</v>
      </c>
      <c r="AW1801" s="4">
        <v>42782</v>
      </c>
      <c r="BD1801">
        <v>0</v>
      </c>
      <c r="BN1801" t="s">
        <v>74</v>
      </c>
    </row>
    <row r="1802" spans="1:66">
      <c r="A1802">
        <v>104093</v>
      </c>
      <c r="B1802" t="s">
        <v>379</v>
      </c>
      <c r="C1802" s="1">
        <v>43300101</v>
      </c>
      <c r="D1802" t="s">
        <v>67</v>
      </c>
      <c r="H1802" t="str">
        <f t="shared" si="227"/>
        <v>12572900152</v>
      </c>
      <c r="I1802" t="str">
        <f t="shared" si="228"/>
        <v>06032681006</v>
      </c>
      <c r="K1802" t="str">
        <f>""</f>
        <v/>
      </c>
      <c r="M1802" t="s">
        <v>68</v>
      </c>
      <c r="N1802" t="str">
        <f t="shared" si="226"/>
        <v>FOR</v>
      </c>
      <c r="O1802" t="s">
        <v>69</v>
      </c>
      <c r="P1802" t="s">
        <v>75</v>
      </c>
      <c r="Q1802">
        <v>2016</v>
      </c>
      <c r="R1802" s="4">
        <v>42489</v>
      </c>
      <c r="S1802" s="2">
        <v>42496</v>
      </c>
      <c r="T1802" s="2">
        <v>42493</v>
      </c>
      <c r="U1802" s="4">
        <v>42553</v>
      </c>
      <c r="V1802" t="s">
        <v>71</v>
      </c>
      <c r="W1802" t="str">
        <f>"            25312353"</f>
        <v xml:space="preserve">            25312353</v>
      </c>
      <c r="X1802">
        <v>74.88</v>
      </c>
      <c r="Y1802">
        <v>0</v>
      </c>
      <c r="Z1802" s="5">
        <v>72</v>
      </c>
      <c r="AA1802" s="3">
        <v>229</v>
      </c>
      <c r="AB1802" s="5">
        <v>16488</v>
      </c>
      <c r="AC1802">
        <v>72</v>
      </c>
      <c r="AD1802">
        <v>229</v>
      </c>
      <c r="AE1802" s="1">
        <v>16488</v>
      </c>
      <c r="AF1802">
        <v>0</v>
      </c>
      <c r="AJ1802">
        <v>0</v>
      </c>
      <c r="AK1802">
        <v>0</v>
      </c>
      <c r="AL1802">
        <v>0</v>
      </c>
      <c r="AM1802">
        <v>0</v>
      </c>
      <c r="AN1802">
        <v>0</v>
      </c>
      <c r="AO1802">
        <v>0</v>
      </c>
      <c r="AP1802" s="2">
        <v>42831</v>
      </c>
      <c r="AQ1802" t="s">
        <v>72</v>
      </c>
      <c r="AR1802" t="s">
        <v>72</v>
      </c>
      <c r="AS1802">
        <v>470</v>
      </c>
      <c r="AT1802" s="4">
        <v>42782</v>
      </c>
      <c r="AU1802" t="s">
        <v>73</v>
      </c>
      <c r="AV1802">
        <v>470</v>
      </c>
      <c r="AW1802" s="4">
        <v>42782</v>
      </c>
      <c r="BD1802">
        <v>0</v>
      </c>
      <c r="BN1802" t="s">
        <v>74</v>
      </c>
    </row>
    <row r="1803" spans="1:66">
      <c r="A1803">
        <v>104093</v>
      </c>
      <c r="B1803" t="s">
        <v>379</v>
      </c>
      <c r="C1803" s="1">
        <v>43300101</v>
      </c>
      <c r="D1803" t="s">
        <v>67</v>
      </c>
      <c r="H1803" t="str">
        <f t="shared" si="227"/>
        <v>12572900152</v>
      </c>
      <c r="I1803" t="str">
        <f t="shared" si="228"/>
        <v>06032681006</v>
      </c>
      <c r="K1803" t="str">
        <f>""</f>
        <v/>
      </c>
      <c r="M1803" t="s">
        <v>68</v>
      </c>
      <c r="N1803" t="str">
        <f t="shared" si="226"/>
        <v>FOR</v>
      </c>
      <c r="O1803" t="s">
        <v>69</v>
      </c>
      <c r="P1803" t="s">
        <v>75</v>
      </c>
      <c r="Q1803">
        <v>2016</v>
      </c>
      <c r="R1803" s="4">
        <v>42489</v>
      </c>
      <c r="S1803" s="2">
        <v>42496</v>
      </c>
      <c r="T1803" s="2">
        <v>42493</v>
      </c>
      <c r="U1803" s="4">
        <v>42553</v>
      </c>
      <c r="V1803" t="s">
        <v>71</v>
      </c>
      <c r="W1803" t="str">
        <f>"            25312354"</f>
        <v xml:space="preserve">            25312354</v>
      </c>
      <c r="X1803">
        <v>926.64</v>
      </c>
      <c r="Y1803">
        <v>0</v>
      </c>
      <c r="Z1803" s="5">
        <v>891</v>
      </c>
      <c r="AA1803" s="3">
        <v>229</v>
      </c>
      <c r="AB1803" s="5">
        <v>204039</v>
      </c>
      <c r="AC1803">
        <v>891</v>
      </c>
      <c r="AD1803">
        <v>229</v>
      </c>
      <c r="AE1803" s="1">
        <v>204039</v>
      </c>
      <c r="AF1803">
        <v>0</v>
      </c>
      <c r="AJ1803">
        <v>0</v>
      </c>
      <c r="AK1803">
        <v>0</v>
      </c>
      <c r="AL1803">
        <v>0</v>
      </c>
      <c r="AM1803">
        <v>0</v>
      </c>
      <c r="AN1803">
        <v>0</v>
      </c>
      <c r="AO1803">
        <v>0</v>
      </c>
      <c r="AP1803" s="2">
        <v>42831</v>
      </c>
      <c r="AQ1803" t="s">
        <v>72</v>
      </c>
      <c r="AR1803" t="s">
        <v>72</v>
      </c>
      <c r="AS1803">
        <v>470</v>
      </c>
      <c r="AT1803" s="4">
        <v>42782</v>
      </c>
      <c r="AU1803" t="s">
        <v>73</v>
      </c>
      <c r="AV1803">
        <v>470</v>
      </c>
      <c r="AW1803" s="4">
        <v>42782</v>
      </c>
      <c r="BD1803">
        <v>0</v>
      </c>
      <c r="BN1803" t="s">
        <v>74</v>
      </c>
    </row>
    <row r="1804" spans="1:66">
      <c r="A1804">
        <v>104093</v>
      </c>
      <c r="B1804" t="s">
        <v>379</v>
      </c>
      <c r="C1804" s="1">
        <v>43300101</v>
      </c>
      <c r="D1804" t="s">
        <v>67</v>
      </c>
      <c r="H1804" t="str">
        <f t="shared" si="227"/>
        <v>12572900152</v>
      </c>
      <c r="I1804" t="str">
        <f t="shared" si="228"/>
        <v>06032681006</v>
      </c>
      <c r="K1804" t="str">
        <f>""</f>
        <v/>
      </c>
      <c r="M1804" t="s">
        <v>68</v>
      </c>
      <c r="N1804" t="str">
        <f t="shared" si="226"/>
        <v>FOR</v>
      </c>
      <c r="O1804" t="s">
        <v>69</v>
      </c>
      <c r="P1804" t="s">
        <v>75</v>
      </c>
      <c r="Q1804">
        <v>2016</v>
      </c>
      <c r="R1804" s="4">
        <v>42489</v>
      </c>
      <c r="S1804" s="2">
        <v>42496</v>
      </c>
      <c r="T1804" s="2">
        <v>42493</v>
      </c>
      <c r="U1804" s="4">
        <v>42553</v>
      </c>
      <c r="V1804" t="s">
        <v>71</v>
      </c>
      <c r="W1804" t="str">
        <f>"            25312355"</f>
        <v xml:space="preserve">            25312355</v>
      </c>
      <c r="X1804">
        <v>252.72</v>
      </c>
      <c r="Y1804">
        <v>0</v>
      </c>
      <c r="Z1804" s="5">
        <v>243</v>
      </c>
      <c r="AA1804" s="3">
        <v>229</v>
      </c>
      <c r="AB1804" s="5">
        <v>55647</v>
      </c>
      <c r="AC1804">
        <v>243</v>
      </c>
      <c r="AD1804">
        <v>229</v>
      </c>
      <c r="AE1804" s="1">
        <v>55647</v>
      </c>
      <c r="AF1804">
        <v>0</v>
      </c>
      <c r="AJ1804">
        <v>0</v>
      </c>
      <c r="AK1804">
        <v>0</v>
      </c>
      <c r="AL1804">
        <v>0</v>
      </c>
      <c r="AM1804">
        <v>0</v>
      </c>
      <c r="AN1804">
        <v>0</v>
      </c>
      <c r="AO1804">
        <v>0</v>
      </c>
      <c r="AP1804" s="2">
        <v>42831</v>
      </c>
      <c r="AQ1804" t="s">
        <v>72</v>
      </c>
      <c r="AR1804" t="s">
        <v>72</v>
      </c>
      <c r="AS1804">
        <v>470</v>
      </c>
      <c r="AT1804" s="4">
        <v>42782</v>
      </c>
      <c r="AU1804" t="s">
        <v>73</v>
      </c>
      <c r="AV1804">
        <v>470</v>
      </c>
      <c r="AW1804" s="4">
        <v>42782</v>
      </c>
      <c r="BD1804">
        <v>0</v>
      </c>
      <c r="BN1804" t="s">
        <v>74</v>
      </c>
    </row>
    <row r="1805" spans="1:66">
      <c r="A1805">
        <v>104093</v>
      </c>
      <c r="B1805" t="s">
        <v>379</v>
      </c>
      <c r="C1805" s="1">
        <v>43300101</v>
      </c>
      <c r="D1805" t="s">
        <v>67</v>
      </c>
      <c r="H1805" t="str">
        <f t="shared" si="227"/>
        <v>12572900152</v>
      </c>
      <c r="I1805" t="str">
        <f t="shared" si="228"/>
        <v>06032681006</v>
      </c>
      <c r="K1805" t="str">
        <f>""</f>
        <v/>
      </c>
      <c r="M1805" t="s">
        <v>68</v>
      </c>
      <c r="N1805" t="str">
        <f t="shared" si="226"/>
        <v>FOR</v>
      </c>
      <c r="O1805" t="s">
        <v>69</v>
      </c>
      <c r="P1805" t="s">
        <v>75</v>
      </c>
      <c r="Q1805">
        <v>2016</v>
      </c>
      <c r="R1805" s="4">
        <v>42489</v>
      </c>
      <c r="S1805" s="2">
        <v>42494</v>
      </c>
      <c r="T1805" s="2">
        <v>42493</v>
      </c>
      <c r="U1805" s="4">
        <v>42553</v>
      </c>
      <c r="V1805" t="s">
        <v>71</v>
      </c>
      <c r="W1805" t="str">
        <f>"            25312356"</f>
        <v xml:space="preserve">            25312356</v>
      </c>
      <c r="X1805">
        <v>74.88</v>
      </c>
      <c r="Y1805">
        <v>0</v>
      </c>
      <c r="Z1805" s="5">
        <v>72</v>
      </c>
      <c r="AA1805" s="3">
        <v>229</v>
      </c>
      <c r="AB1805" s="5">
        <v>16488</v>
      </c>
      <c r="AC1805">
        <v>72</v>
      </c>
      <c r="AD1805">
        <v>229</v>
      </c>
      <c r="AE1805" s="1">
        <v>16488</v>
      </c>
      <c r="AF1805">
        <v>0</v>
      </c>
      <c r="AJ1805">
        <v>0</v>
      </c>
      <c r="AK1805">
        <v>0</v>
      </c>
      <c r="AL1805">
        <v>0</v>
      </c>
      <c r="AM1805">
        <v>0</v>
      </c>
      <c r="AN1805">
        <v>0</v>
      </c>
      <c r="AO1805">
        <v>0</v>
      </c>
      <c r="AP1805" s="2">
        <v>42831</v>
      </c>
      <c r="AQ1805" t="s">
        <v>72</v>
      </c>
      <c r="AR1805" t="s">
        <v>72</v>
      </c>
      <c r="AS1805">
        <v>470</v>
      </c>
      <c r="AT1805" s="4">
        <v>42782</v>
      </c>
      <c r="AU1805" t="s">
        <v>73</v>
      </c>
      <c r="AV1805">
        <v>470</v>
      </c>
      <c r="AW1805" s="4">
        <v>42782</v>
      </c>
      <c r="BD1805">
        <v>0</v>
      </c>
      <c r="BN1805" t="s">
        <v>74</v>
      </c>
    </row>
    <row r="1806" spans="1:66">
      <c r="A1806">
        <v>104093</v>
      </c>
      <c r="B1806" t="s">
        <v>379</v>
      </c>
      <c r="C1806" s="1">
        <v>43300101</v>
      </c>
      <c r="D1806" t="s">
        <v>67</v>
      </c>
      <c r="H1806" t="str">
        <f t="shared" si="227"/>
        <v>12572900152</v>
      </c>
      <c r="I1806" t="str">
        <f t="shared" si="228"/>
        <v>06032681006</v>
      </c>
      <c r="K1806" t="str">
        <f>""</f>
        <v/>
      </c>
      <c r="M1806" t="s">
        <v>68</v>
      </c>
      <c r="N1806" t="str">
        <f t="shared" si="226"/>
        <v>FOR</v>
      </c>
      <c r="O1806" t="s">
        <v>69</v>
      </c>
      <c r="P1806" t="s">
        <v>75</v>
      </c>
      <c r="Q1806">
        <v>2016</v>
      </c>
      <c r="R1806" s="4">
        <v>42489</v>
      </c>
      <c r="S1806" s="2">
        <v>42496</v>
      </c>
      <c r="T1806" s="2">
        <v>42493</v>
      </c>
      <c r="U1806" s="4">
        <v>42553</v>
      </c>
      <c r="V1806" t="s">
        <v>71</v>
      </c>
      <c r="W1806" t="str">
        <f>"            25312357"</f>
        <v xml:space="preserve">            25312357</v>
      </c>
      <c r="X1806">
        <v>74.88</v>
      </c>
      <c r="Y1806">
        <v>0</v>
      </c>
      <c r="Z1806" s="5">
        <v>72</v>
      </c>
      <c r="AA1806" s="3">
        <v>229</v>
      </c>
      <c r="AB1806" s="5">
        <v>16488</v>
      </c>
      <c r="AC1806">
        <v>72</v>
      </c>
      <c r="AD1806">
        <v>229</v>
      </c>
      <c r="AE1806" s="1">
        <v>16488</v>
      </c>
      <c r="AF1806">
        <v>0</v>
      </c>
      <c r="AJ1806">
        <v>0</v>
      </c>
      <c r="AK1806">
        <v>0</v>
      </c>
      <c r="AL1806">
        <v>0</v>
      </c>
      <c r="AM1806">
        <v>0</v>
      </c>
      <c r="AN1806">
        <v>0</v>
      </c>
      <c r="AO1806">
        <v>0</v>
      </c>
      <c r="AP1806" s="2">
        <v>42831</v>
      </c>
      <c r="AQ1806" t="s">
        <v>72</v>
      </c>
      <c r="AR1806" t="s">
        <v>72</v>
      </c>
      <c r="AS1806">
        <v>470</v>
      </c>
      <c r="AT1806" s="4">
        <v>42782</v>
      </c>
      <c r="AU1806" t="s">
        <v>73</v>
      </c>
      <c r="AV1806">
        <v>470</v>
      </c>
      <c r="AW1806" s="4">
        <v>42782</v>
      </c>
      <c r="BD1806">
        <v>0</v>
      </c>
      <c r="BN1806" t="s">
        <v>74</v>
      </c>
    </row>
    <row r="1807" spans="1:66">
      <c r="A1807">
        <v>104093</v>
      </c>
      <c r="B1807" t="s">
        <v>379</v>
      </c>
      <c r="C1807" s="1">
        <v>43300101</v>
      </c>
      <c r="D1807" t="s">
        <v>67</v>
      </c>
      <c r="H1807" t="str">
        <f t="shared" si="227"/>
        <v>12572900152</v>
      </c>
      <c r="I1807" t="str">
        <f t="shared" si="228"/>
        <v>06032681006</v>
      </c>
      <c r="K1807" t="str">
        <f>""</f>
        <v/>
      </c>
      <c r="M1807" t="s">
        <v>68</v>
      </c>
      <c r="N1807" t="str">
        <f t="shared" si="226"/>
        <v>FOR</v>
      </c>
      <c r="O1807" t="s">
        <v>69</v>
      </c>
      <c r="P1807" t="s">
        <v>75</v>
      </c>
      <c r="Q1807">
        <v>2016</v>
      </c>
      <c r="R1807" s="4">
        <v>42489</v>
      </c>
      <c r="S1807" s="2">
        <v>42496</v>
      </c>
      <c r="T1807" s="2">
        <v>42493</v>
      </c>
      <c r="U1807" s="4">
        <v>42553</v>
      </c>
      <c r="V1807" t="s">
        <v>71</v>
      </c>
      <c r="W1807" t="str">
        <f>"            25312359"</f>
        <v xml:space="preserve">            25312359</v>
      </c>
      <c r="X1807">
        <v>74.88</v>
      </c>
      <c r="Y1807">
        <v>0</v>
      </c>
      <c r="Z1807" s="5">
        <v>72</v>
      </c>
      <c r="AA1807" s="3">
        <v>229</v>
      </c>
      <c r="AB1807" s="5">
        <v>16488</v>
      </c>
      <c r="AC1807">
        <v>72</v>
      </c>
      <c r="AD1807">
        <v>229</v>
      </c>
      <c r="AE1807" s="1">
        <v>16488</v>
      </c>
      <c r="AF1807">
        <v>0</v>
      </c>
      <c r="AJ1807">
        <v>0</v>
      </c>
      <c r="AK1807">
        <v>0</v>
      </c>
      <c r="AL1807">
        <v>0</v>
      </c>
      <c r="AM1807">
        <v>0</v>
      </c>
      <c r="AN1807">
        <v>0</v>
      </c>
      <c r="AO1807">
        <v>0</v>
      </c>
      <c r="AP1807" s="2">
        <v>42831</v>
      </c>
      <c r="AQ1807" t="s">
        <v>72</v>
      </c>
      <c r="AR1807" t="s">
        <v>72</v>
      </c>
      <c r="AS1807">
        <v>470</v>
      </c>
      <c r="AT1807" s="4">
        <v>42782</v>
      </c>
      <c r="AU1807" t="s">
        <v>73</v>
      </c>
      <c r="AV1807">
        <v>470</v>
      </c>
      <c r="AW1807" s="4">
        <v>42782</v>
      </c>
      <c r="BD1807">
        <v>0</v>
      </c>
      <c r="BN1807" t="s">
        <v>74</v>
      </c>
    </row>
    <row r="1808" spans="1:66">
      <c r="A1808">
        <v>104093</v>
      </c>
      <c r="B1808" t="s">
        <v>379</v>
      </c>
      <c r="C1808" s="1">
        <v>43300101</v>
      </c>
      <c r="D1808" t="s">
        <v>67</v>
      </c>
      <c r="H1808" t="str">
        <f t="shared" si="227"/>
        <v>12572900152</v>
      </c>
      <c r="I1808" t="str">
        <f t="shared" si="228"/>
        <v>06032681006</v>
      </c>
      <c r="K1808" t="str">
        <f>""</f>
        <v/>
      </c>
      <c r="M1808" t="s">
        <v>68</v>
      </c>
      <c r="N1808" t="str">
        <f t="shared" si="226"/>
        <v>FOR</v>
      </c>
      <c r="O1808" t="s">
        <v>69</v>
      </c>
      <c r="P1808" t="s">
        <v>75</v>
      </c>
      <c r="Q1808">
        <v>2016</v>
      </c>
      <c r="R1808" s="4">
        <v>42489</v>
      </c>
      <c r="S1808" s="2">
        <v>42496</v>
      </c>
      <c r="T1808" s="2">
        <v>42493</v>
      </c>
      <c r="U1808" s="4">
        <v>42553</v>
      </c>
      <c r="V1808" t="s">
        <v>71</v>
      </c>
      <c r="W1808" t="str">
        <f>"            25312360"</f>
        <v xml:space="preserve">            25312360</v>
      </c>
      <c r="X1808">
        <v>74.88</v>
      </c>
      <c r="Y1808">
        <v>0</v>
      </c>
      <c r="Z1808" s="5">
        <v>72</v>
      </c>
      <c r="AA1808" s="3">
        <v>229</v>
      </c>
      <c r="AB1808" s="5">
        <v>16488</v>
      </c>
      <c r="AC1808">
        <v>72</v>
      </c>
      <c r="AD1808">
        <v>229</v>
      </c>
      <c r="AE1808" s="1">
        <v>16488</v>
      </c>
      <c r="AF1808">
        <v>0</v>
      </c>
      <c r="AJ1808">
        <v>0</v>
      </c>
      <c r="AK1808">
        <v>0</v>
      </c>
      <c r="AL1808">
        <v>0</v>
      </c>
      <c r="AM1808">
        <v>0</v>
      </c>
      <c r="AN1808">
        <v>0</v>
      </c>
      <c r="AO1808">
        <v>0</v>
      </c>
      <c r="AP1808" s="2">
        <v>42831</v>
      </c>
      <c r="AQ1808" t="s">
        <v>72</v>
      </c>
      <c r="AR1808" t="s">
        <v>72</v>
      </c>
      <c r="AS1808">
        <v>470</v>
      </c>
      <c r="AT1808" s="4">
        <v>42782</v>
      </c>
      <c r="AU1808" t="s">
        <v>73</v>
      </c>
      <c r="AV1808">
        <v>470</v>
      </c>
      <c r="AW1808" s="4">
        <v>42782</v>
      </c>
      <c r="BD1808">
        <v>0</v>
      </c>
      <c r="BN1808" t="s">
        <v>74</v>
      </c>
    </row>
    <row r="1809" spans="1:66">
      <c r="A1809">
        <v>104093</v>
      </c>
      <c r="B1809" t="s">
        <v>379</v>
      </c>
      <c r="C1809" s="1">
        <v>43300101</v>
      </c>
      <c r="D1809" t="s">
        <v>67</v>
      </c>
      <c r="H1809" t="str">
        <f t="shared" si="227"/>
        <v>12572900152</v>
      </c>
      <c r="I1809" t="str">
        <f t="shared" si="228"/>
        <v>06032681006</v>
      </c>
      <c r="K1809" t="str">
        <f>""</f>
        <v/>
      </c>
      <c r="M1809" t="s">
        <v>68</v>
      </c>
      <c r="N1809" t="str">
        <f t="shared" si="226"/>
        <v>FOR</v>
      </c>
      <c r="O1809" t="s">
        <v>69</v>
      </c>
      <c r="P1809" t="s">
        <v>75</v>
      </c>
      <c r="Q1809">
        <v>2016</v>
      </c>
      <c r="R1809" s="4">
        <v>42489</v>
      </c>
      <c r="S1809" s="2">
        <v>42496</v>
      </c>
      <c r="T1809" s="2">
        <v>42493</v>
      </c>
      <c r="U1809" s="4">
        <v>42553</v>
      </c>
      <c r="V1809" t="s">
        <v>71</v>
      </c>
      <c r="W1809" t="str">
        <f>"            25312361"</f>
        <v xml:space="preserve">            25312361</v>
      </c>
      <c r="X1809">
        <v>74.88</v>
      </c>
      <c r="Y1809">
        <v>0</v>
      </c>
      <c r="Z1809" s="5">
        <v>72</v>
      </c>
      <c r="AA1809" s="3">
        <v>229</v>
      </c>
      <c r="AB1809" s="5">
        <v>16488</v>
      </c>
      <c r="AC1809">
        <v>72</v>
      </c>
      <c r="AD1809">
        <v>229</v>
      </c>
      <c r="AE1809" s="1">
        <v>16488</v>
      </c>
      <c r="AF1809">
        <v>0</v>
      </c>
      <c r="AJ1809">
        <v>0</v>
      </c>
      <c r="AK1809">
        <v>0</v>
      </c>
      <c r="AL1809">
        <v>0</v>
      </c>
      <c r="AM1809">
        <v>0</v>
      </c>
      <c r="AN1809">
        <v>0</v>
      </c>
      <c r="AO1809">
        <v>0</v>
      </c>
      <c r="AP1809" s="2">
        <v>42831</v>
      </c>
      <c r="AQ1809" t="s">
        <v>72</v>
      </c>
      <c r="AR1809" t="s">
        <v>72</v>
      </c>
      <c r="AS1809">
        <v>470</v>
      </c>
      <c r="AT1809" s="4">
        <v>42782</v>
      </c>
      <c r="AU1809" t="s">
        <v>73</v>
      </c>
      <c r="AV1809">
        <v>470</v>
      </c>
      <c r="AW1809" s="4">
        <v>42782</v>
      </c>
      <c r="BD1809">
        <v>0</v>
      </c>
      <c r="BN1809" t="s">
        <v>74</v>
      </c>
    </row>
    <row r="1810" spans="1:66">
      <c r="A1810">
        <v>104093</v>
      </c>
      <c r="B1810" t="s">
        <v>379</v>
      </c>
      <c r="C1810" s="1">
        <v>43300101</v>
      </c>
      <c r="D1810" t="s">
        <v>67</v>
      </c>
      <c r="H1810" t="str">
        <f t="shared" si="227"/>
        <v>12572900152</v>
      </c>
      <c r="I1810" t="str">
        <f t="shared" si="228"/>
        <v>06032681006</v>
      </c>
      <c r="K1810" t="str">
        <f>""</f>
        <v/>
      </c>
      <c r="M1810" t="s">
        <v>68</v>
      </c>
      <c r="N1810" t="str">
        <f t="shared" si="226"/>
        <v>FOR</v>
      </c>
      <c r="O1810" t="s">
        <v>69</v>
      </c>
      <c r="P1810" t="s">
        <v>75</v>
      </c>
      <c r="Q1810">
        <v>2016</v>
      </c>
      <c r="R1810" s="4">
        <v>42489</v>
      </c>
      <c r="S1810" s="2">
        <v>42494</v>
      </c>
      <c r="T1810" s="2">
        <v>42493</v>
      </c>
      <c r="U1810" s="4">
        <v>42553</v>
      </c>
      <c r="V1810" t="s">
        <v>71</v>
      </c>
      <c r="W1810" t="str">
        <f>"            25312362"</f>
        <v xml:space="preserve">            25312362</v>
      </c>
      <c r="X1810">
        <v>74.88</v>
      </c>
      <c r="Y1810">
        <v>0</v>
      </c>
      <c r="Z1810" s="5">
        <v>72</v>
      </c>
      <c r="AA1810" s="3">
        <v>229</v>
      </c>
      <c r="AB1810" s="5">
        <v>16488</v>
      </c>
      <c r="AC1810">
        <v>72</v>
      </c>
      <c r="AD1810">
        <v>229</v>
      </c>
      <c r="AE1810" s="1">
        <v>16488</v>
      </c>
      <c r="AF1810">
        <v>0</v>
      </c>
      <c r="AJ1810">
        <v>0</v>
      </c>
      <c r="AK1810">
        <v>0</v>
      </c>
      <c r="AL1810">
        <v>0</v>
      </c>
      <c r="AM1810">
        <v>0</v>
      </c>
      <c r="AN1810">
        <v>0</v>
      </c>
      <c r="AO1810">
        <v>0</v>
      </c>
      <c r="AP1810" s="2">
        <v>42831</v>
      </c>
      <c r="AQ1810" t="s">
        <v>72</v>
      </c>
      <c r="AR1810" t="s">
        <v>72</v>
      </c>
      <c r="AS1810">
        <v>470</v>
      </c>
      <c r="AT1810" s="4">
        <v>42782</v>
      </c>
      <c r="AU1810" t="s">
        <v>73</v>
      </c>
      <c r="AV1810">
        <v>470</v>
      </c>
      <c r="AW1810" s="4">
        <v>42782</v>
      </c>
      <c r="BD1810">
        <v>0</v>
      </c>
      <c r="BN1810" t="s">
        <v>74</v>
      </c>
    </row>
    <row r="1811" spans="1:66">
      <c r="A1811">
        <v>104093</v>
      </c>
      <c r="B1811" t="s">
        <v>379</v>
      </c>
      <c r="C1811" s="1">
        <v>43300101</v>
      </c>
      <c r="D1811" t="s">
        <v>67</v>
      </c>
      <c r="H1811" t="str">
        <f t="shared" si="227"/>
        <v>12572900152</v>
      </c>
      <c r="I1811" t="str">
        <f t="shared" si="228"/>
        <v>06032681006</v>
      </c>
      <c r="K1811" t="str">
        <f>""</f>
        <v/>
      </c>
      <c r="M1811" t="s">
        <v>68</v>
      </c>
      <c r="N1811" t="str">
        <f t="shared" si="226"/>
        <v>FOR</v>
      </c>
      <c r="O1811" t="s">
        <v>69</v>
      </c>
      <c r="P1811" t="s">
        <v>75</v>
      </c>
      <c r="Q1811">
        <v>2016</v>
      </c>
      <c r="R1811" s="4">
        <v>42489</v>
      </c>
      <c r="S1811" s="2">
        <v>42494</v>
      </c>
      <c r="T1811" s="2">
        <v>42493</v>
      </c>
      <c r="U1811" s="4">
        <v>42553</v>
      </c>
      <c r="V1811" t="s">
        <v>71</v>
      </c>
      <c r="W1811" t="str">
        <f>"            25312363"</f>
        <v xml:space="preserve">            25312363</v>
      </c>
      <c r="X1811">
        <v>74.88</v>
      </c>
      <c r="Y1811">
        <v>0</v>
      </c>
      <c r="Z1811" s="5">
        <v>72</v>
      </c>
      <c r="AA1811" s="3">
        <v>229</v>
      </c>
      <c r="AB1811" s="5">
        <v>16488</v>
      </c>
      <c r="AC1811">
        <v>72</v>
      </c>
      <c r="AD1811">
        <v>229</v>
      </c>
      <c r="AE1811" s="1">
        <v>16488</v>
      </c>
      <c r="AF1811">
        <v>0</v>
      </c>
      <c r="AJ1811">
        <v>0</v>
      </c>
      <c r="AK1811">
        <v>0</v>
      </c>
      <c r="AL1811">
        <v>0</v>
      </c>
      <c r="AM1811">
        <v>0</v>
      </c>
      <c r="AN1811">
        <v>0</v>
      </c>
      <c r="AO1811">
        <v>0</v>
      </c>
      <c r="AP1811" s="2">
        <v>42831</v>
      </c>
      <c r="AQ1811" t="s">
        <v>72</v>
      </c>
      <c r="AR1811" t="s">
        <v>72</v>
      </c>
      <c r="AS1811">
        <v>470</v>
      </c>
      <c r="AT1811" s="4">
        <v>42782</v>
      </c>
      <c r="AU1811" t="s">
        <v>73</v>
      </c>
      <c r="AV1811">
        <v>470</v>
      </c>
      <c r="AW1811" s="4">
        <v>42782</v>
      </c>
      <c r="BD1811">
        <v>0</v>
      </c>
      <c r="BN1811" t="s">
        <v>74</v>
      </c>
    </row>
    <row r="1812" spans="1:66">
      <c r="A1812">
        <v>104093</v>
      </c>
      <c r="B1812" t="s">
        <v>379</v>
      </c>
      <c r="C1812" s="1">
        <v>43300101</v>
      </c>
      <c r="D1812" t="s">
        <v>67</v>
      </c>
      <c r="H1812" t="str">
        <f t="shared" si="227"/>
        <v>12572900152</v>
      </c>
      <c r="I1812" t="str">
        <f t="shared" si="228"/>
        <v>06032681006</v>
      </c>
      <c r="K1812" t="str">
        <f>""</f>
        <v/>
      </c>
      <c r="M1812" t="s">
        <v>68</v>
      </c>
      <c r="N1812" t="str">
        <f t="shared" si="226"/>
        <v>FOR</v>
      </c>
      <c r="O1812" t="s">
        <v>69</v>
      </c>
      <c r="P1812" t="s">
        <v>75</v>
      </c>
      <c r="Q1812">
        <v>2016</v>
      </c>
      <c r="R1812" s="4">
        <v>42489</v>
      </c>
      <c r="S1812" s="2">
        <v>42496</v>
      </c>
      <c r="T1812" s="2">
        <v>42493</v>
      </c>
      <c r="U1812" s="4">
        <v>42553</v>
      </c>
      <c r="V1812" t="s">
        <v>71</v>
      </c>
      <c r="W1812" t="str">
        <f>"            25312364"</f>
        <v xml:space="preserve">            25312364</v>
      </c>
      <c r="X1812">
        <v>74.88</v>
      </c>
      <c r="Y1812">
        <v>0</v>
      </c>
      <c r="Z1812" s="5">
        <v>72</v>
      </c>
      <c r="AA1812" s="3">
        <v>229</v>
      </c>
      <c r="AB1812" s="5">
        <v>16488</v>
      </c>
      <c r="AC1812">
        <v>72</v>
      </c>
      <c r="AD1812">
        <v>229</v>
      </c>
      <c r="AE1812" s="1">
        <v>16488</v>
      </c>
      <c r="AF1812">
        <v>0</v>
      </c>
      <c r="AJ1812">
        <v>0</v>
      </c>
      <c r="AK1812">
        <v>0</v>
      </c>
      <c r="AL1812">
        <v>0</v>
      </c>
      <c r="AM1812">
        <v>0</v>
      </c>
      <c r="AN1812">
        <v>0</v>
      </c>
      <c r="AO1812">
        <v>0</v>
      </c>
      <c r="AP1812" s="2">
        <v>42831</v>
      </c>
      <c r="AQ1812" t="s">
        <v>72</v>
      </c>
      <c r="AR1812" t="s">
        <v>72</v>
      </c>
      <c r="AS1812">
        <v>470</v>
      </c>
      <c r="AT1812" s="4">
        <v>42782</v>
      </c>
      <c r="AU1812" t="s">
        <v>73</v>
      </c>
      <c r="AV1812">
        <v>470</v>
      </c>
      <c r="AW1812" s="4">
        <v>42782</v>
      </c>
      <c r="BD1812">
        <v>0</v>
      </c>
      <c r="BN1812" t="s">
        <v>74</v>
      </c>
    </row>
    <row r="1813" spans="1:66">
      <c r="A1813">
        <v>104093</v>
      </c>
      <c r="B1813" t="s">
        <v>379</v>
      </c>
      <c r="C1813" s="1">
        <v>43300101</v>
      </c>
      <c r="D1813" t="s">
        <v>67</v>
      </c>
      <c r="H1813" t="str">
        <f t="shared" si="227"/>
        <v>12572900152</v>
      </c>
      <c r="I1813" t="str">
        <f t="shared" si="228"/>
        <v>06032681006</v>
      </c>
      <c r="K1813" t="str">
        <f>""</f>
        <v/>
      </c>
      <c r="M1813" t="s">
        <v>68</v>
      </c>
      <c r="N1813" t="str">
        <f t="shared" si="226"/>
        <v>FOR</v>
      </c>
      <c r="O1813" t="s">
        <v>69</v>
      </c>
      <c r="P1813" t="s">
        <v>75</v>
      </c>
      <c r="Q1813">
        <v>2016</v>
      </c>
      <c r="R1813" s="4">
        <v>42489</v>
      </c>
      <c r="S1813" s="2">
        <v>42496</v>
      </c>
      <c r="T1813" s="2">
        <v>42493</v>
      </c>
      <c r="U1813" s="4">
        <v>42553</v>
      </c>
      <c r="V1813" t="s">
        <v>71</v>
      </c>
      <c r="W1813" t="str">
        <f>"            25312365"</f>
        <v xml:space="preserve">            25312365</v>
      </c>
      <c r="X1813">
        <v>403.42</v>
      </c>
      <c r="Y1813">
        <v>0</v>
      </c>
      <c r="Z1813" s="5">
        <v>387.9</v>
      </c>
      <c r="AA1813" s="3">
        <v>229</v>
      </c>
      <c r="AB1813" s="5">
        <v>88829.1</v>
      </c>
      <c r="AC1813">
        <v>387.9</v>
      </c>
      <c r="AD1813">
        <v>229</v>
      </c>
      <c r="AE1813" s="1">
        <v>88829.1</v>
      </c>
      <c r="AF1813">
        <v>0</v>
      </c>
      <c r="AJ1813">
        <v>0</v>
      </c>
      <c r="AK1813">
        <v>0</v>
      </c>
      <c r="AL1813">
        <v>0</v>
      </c>
      <c r="AM1813">
        <v>0</v>
      </c>
      <c r="AN1813">
        <v>0</v>
      </c>
      <c r="AO1813">
        <v>0</v>
      </c>
      <c r="AP1813" s="2">
        <v>42831</v>
      </c>
      <c r="AQ1813" t="s">
        <v>72</v>
      </c>
      <c r="AR1813" t="s">
        <v>72</v>
      </c>
      <c r="AS1813">
        <v>470</v>
      </c>
      <c r="AT1813" s="4">
        <v>42782</v>
      </c>
      <c r="AU1813" t="s">
        <v>73</v>
      </c>
      <c r="AV1813">
        <v>470</v>
      </c>
      <c r="AW1813" s="4">
        <v>42782</v>
      </c>
      <c r="BD1813">
        <v>0</v>
      </c>
      <c r="BN1813" t="s">
        <v>74</v>
      </c>
    </row>
    <row r="1814" spans="1:66">
      <c r="A1814">
        <v>104093</v>
      </c>
      <c r="B1814" t="s">
        <v>379</v>
      </c>
      <c r="C1814" s="1">
        <v>43300101</v>
      </c>
      <c r="D1814" t="s">
        <v>67</v>
      </c>
      <c r="H1814" t="str">
        <f t="shared" si="227"/>
        <v>12572900152</v>
      </c>
      <c r="I1814" t="str">
        <f t="shared" si="228"/>
        <v>06032681006</v>
      </c>
      <c r="K1814" t="str">
        <f>""</f>
        <v/>
      </c>
      <c r="M1814" t="s">
        <v>68</v>
      </c>
      <c r="N1814" t="str">
        <f t="shared" si="226"/>
        <v>FOR</v>
      </c>
      <c r="O1814" t="s">
        <v>69</v>
      </c>
      <c r="P1814" t="s">
        <v>75</v>
      </c>
      <c r="Q1814">
        <v>2016</v>
      </c>
      <c r="R1814" s="4">
        <v>42489</v>
      </c>
      <c r="S1814" s="2">
        <v>42496</v>
      </c>
      <c r="T1814" s="2">
        <v>42493</v>
      </c>
      <c r="U1814" s="4">
        <v>42553</v>
      </c>
      <c r="V1814" t="s">
        <v>71</v>
      </c>
      <c r="W1814" t="str">
        <f>"            25312366"</f>
        <v xml:space="preserve">            25312366</v>
      </c>
      <c r="X1814">
        <v>998.4</v>
      </c>
      <c r="Y1814">
        <v>0</v>
      </c>
      <c r="Z1814" s="5">
        <v>960</v>
      </c>
      <c r="AA1814" s="3">
        <v>229</v>
      </c>
      <c r="AB1814" s="5">
        <v>219840</v>
      </c>
      <c r="AC1814">
        <v>960</v>
      </c>
      <c r="AD1814">
        <v>229</v>
      </c>
      <c r="AE1814" s="1">
        <v>219840</v>
      </c>
      <c r="AF1814">
        <v>0</v>
      </c>
      <c r="AJ1814">
        <v>0</v>
      </c>
      <c r="AK1814">
        <v>0</v>
      </c>
      <c r="AL1814">
        <v>0</v>
      </c>
      <c r="AM1814">
        <v>0</v>
      </c>
      <c r="AN1814">
        <v>0</v>
      </c>
      <c r="AO1814">
        <v>0</v>
      </c>
      <c r="AP1814" s="2">
        <v>42831</v>
      </c>
      <c r="AQ1814" t="s">
        <v>72</v>
      </c>
      <c r="AR1814" t="s">
        <v>72</v>
      </c>
      <c r="AS1814">
        <v>470</v>
      </c>
      <c r="AT1814" s="4">
        <v>42782</v>
      </c>
      <c r="AU1814" t="s">
        <v>73</v>
      </c>
      <c r="AV1814">
        <v>470</v>
      </c>
      <c r="AW1814" s="4">
        <v>42782</v>
      </c>
      <c r="BD1814">
        <v>0</v>
      </c>
      <c r="BN1814" t="s">
        <v>74</v>
      </c>
    </row>
    <row r="1815" spans="1:66">
      <c r="A1815">
        <v>104093</v>
      </c>
      <c r="B1815" t="s">
        <v>379</v>
      </c>
      <c r="C1815" s="1">
        <v>43300101</v>
      </c>
      <c r="D1815" t="s">
        <v>67</v>
      </c>
      <c r="H1815" t="str">
        <f t="shared" si="227"/>
        <v>12572900152</v>
      </c>
      <c r="I1815" t="str">
        <f t="shared" si="228"/>
        <v>06032681006</v>
      </c>
      <c r="K1815" t="str">
        <f>""</f>
        <v/>
      </c>
      <c r="M1815" t="s">
        <v>68</v>
      </c>
      <c r="N1815" t="str">
        <f t="shared" si="226"/>
        <v>FOR</v>
      </c>
      <c r="O1815" t="s">
        <v>69</v>
      </c>
      <c r="P1815" t="s">
        <v>75</v>
      </c>
      <c r="Q1815">
        <v>2016</v>
      </c>
      <c r="R1815" s="4">
        <v>42489</v>
      </c>
      <c r="S1815" s="2">
        <v>42494</v>
      </c>
      <c r="T1815" s="2">
        <v>42493</v>
      </c>
      <c r="U1815" s="4">
        <v>42553</v>
      </c>
      <c r="V1815" t="s">
        <v>71</v>
      </c>
      <c r="W1815" t="str">
        <f>"            25312368"</f>
        <v xml:space="preserve">            25312368</v>
      </c>
      <c r="X1815" s="1">
        <v>1544.4</v>
      </c>
      <c r="Y1815">
        <v>0</v>
      </c>
      <c r="Z1815" s="5">
        <v>1485</v>
      </c>
      <c r="AA1815" s="3">
        <v>229</v>
      </c>
      <c r="AB1815" s="5">
        <v>340065</v>
      </c>
      <c r="AC1815" s="1">
        <v>1485</v>
      </c>
      <c r="AD1815">
        <v>229</v>
      </c>
      <c r="AE1815" s="1">
        <v>340065</v>
      </c>
      <c r="AF1815">
        <v>0</v>
      </c>
      <c r="AJ1815">
        <v>0</v>
      </c>
      <c r="AK1815">
        <v>0</v>
      </c>
      <c r="AL1815">
        <v>0</v>
      </c>
      <c r="AM1815">
        <v>0</v>
      </c>
      <c r="AN1815">
        <v>0</v>
      </c>
      <c r="AO1815">
        <v>0</v>
      </c>
      <c r="AP1815" s="2">
        <v>42831</v>
      </c>
      <c r="AQ1815" t="s">
        <v>72</v>
      </c>
      <c r="AR1815" t="s">
        <v>72</v>
      </c>
      <c r="AS1815">
        <v>470</v>
      </c>
      <c r="AT1815" s="4">
        <v>42782</v>
      </c>
      <c r="AU1815" t="s">
        <v>73</v>
      </c>
      <c r="AV1815">
        <v>470</v>
      </c>
      <c r="AW1815" s="4">
        <v>42782</v>
      </c>
      <c r="BD1815">
        <v>0</v>
      </c>
      <c r="BN1815" t="s">
        <v>74</v>
      </c>
    </row>
    <row r="1816" spans="1:66">
      <c r="A1816">
        <v>104093</v>
      </c>
      <c r="B1816" t="s">
        <v>379</v>
      </c>
      <c r="C1816" s="1">
        <v>43300101</v>
      </c>
      <c r="D1816" t="s">
        <v>67</v>
      </c>
      <c r="H1816" t="str">
        <f t="shared" si="227"/>
        <v>12572900152</v>
      </c>
      <c r="I1816" t="str">
        <f t="shared" si="228"/>
        <v>06032681006</v>
      </c>
      <c r="K1816" t="str">
        <f>""</f>
        <v/>
      </c>
      <c r="M1816" t="s">
        <v>68</v>
      </c>
      <c r="N1816" t="str">
        <f t="shared" si="226"/>
        <v>FOR</v>
      </c>
      <c r="O1816" t="s">
        <v>69</v>
      </c>
      <c r="P1816" t="s">
        <v>75</v>
      </c>
      <c r="Q1816">
        <v>2016</v>
      </c>
      <c r="R1816" s="4">
        <v>42494</v>
      </c>
      <c r="S1816" s="2">
        <v>42502</v>
      </c>
      <c r="T1816" s="2">
        <v>42501</v>
      </c>
      <c r="U1816" s="4">
        <v>42561</v>
      </c>
      <c r="V1816" t="s">
        <v>71</v>
      </c>
      <c r="W1816" t="str">
        <f>"            25313284"</f>
        <v xml:space="preserve">            25313284</v>
      </c>
      <c r="X1816">
        <v>504.35</v>
      </c>
      <c r="Y1816">
        <v>0</v>
      </c>
      <c r="Z1816" s="5">
        <v>413.4</v>
      </c>
      <c r="AA1816" s="3">
        <v>221</v>
      </c>
      <c r="AB1816" s="5">
        <v>91361.4</v>
      </c>
      <c r="AC1816">
        <v>413.4</v>
      </c>
      <c r="AD1816">
        <v>221</v>
      </c>
      <c r="AE1816" s="1">
        <v>91361.4</v>
      </c>
      <c r="AF1816">
        <v>0</v>
      </c>
      <c r="AJ1816">
        <v>0</v>
      </c>
      <c r="AK1816">
        <v>0</v>
      </c>
      <c r="AL1816">
        <v>0</v>
      </c>
      <c r="AM1816">
        <v>0</v>
      </c>
      <c r="AN1816">
        <v>0</v>
      </c>
      <c r="AO1816">
        <v>0</v>
      </c>
      <c r="AP1816" s="2">
        <v>42831</v>
      </c>
      <c r="AQ1816" t="s">
        <v>72</v>
      </c>
      <c r="AR1816" t="s">
        <v>72</v>
      </c>
      <c r="AS1816">
        <v>470</v>
      </c>
      <c r="AT1816" s="4">
        <v>42782</v>
      </c>
      <c r="AU1816" t="s">
        <v>73</v>
      </c>
      <c r="AV1816">
        <v>470</v>
      </c>
      <c r="AW1816" s="4">
        <v>42782</v>
      </c>
      <c r="BD1816">
        <v>0</v>
      </c>
      <c r="BN1816" t="s">
        <v>74</v>
      </c>
    </row>
    <row r="1817" spans="1:66">
      <c r="A1817">
        <v>104093</v>
      </c>
      <c r="B1817" t="s">
        <v>379</v>
      </c>
      <c r="C1817" s="1">
        <v>43300101</v>
      </c>
      <c r="D1817" t="s">
        <v>67</v>
      </c>
      <c r="H1817" t="str">
        <f t="shared" si="227"/>
        <v>12572900152</v>
      </c>
      <c r="I1817" t="str">
        <f t="shared" si="228"/>
        <v>06032681006</v>
      </c>
      <c r="K1817" t="str">
        <f>""</f>
        <v/>
      </c>
      <c r="M1817" t="s">
        <v>68</v>
      </c>
      <c r="N1817" t="str">
        <f t="shared" si="226"/>
        <v>FOR</v>
      </c>
      <c r="O1817" t="s">
        <v>69</v>
      </c>
      <c r="P1817" t="s">
        <v>75</v>
      </c>
      <c r="Q1817">
        <v>2016</v>
      </c>
      <c r="R1817" s="4">
        <v>42500</v>
      </c>
      <c r="S1817" s="2">
        <v>42506</v>
      </c>
      <c r="T1817" s="2">
        <v>42501</v>
      </c>
      <c r="U1817" s="4">
        <v>42561</v>
      </c>
      <c r="V1817" t="s">
        <v>71</v>
      </c>
      <c r="W1817" t="str">
        <f>"            25314146"</f>
        <v xml:space="preserve">            25314146</v>
      </c>
      <c r="X1817">
        <v>926.64</v>
      </c>
      <c r="Y1817">
        <v>0</v>
      </c>
      <c r="Z1817" s="5">
        <v>891</v>
      </c>
      <c r="AA1817" s="3">
        <v>221</v>
      </c>
      <c r="AB1817" s="5">
        <v>196911</v>
      </c>
      <c r="AC1817">
        <v>891</v>
      </c>
      <c r="AD1817">
        <v>221</v>
      </c>
      <c r="AE1817" s="1">
        <v>196911</v>
      </c>
      <c r="AF1817">
        <v>0</v>
      </c>
      <c r="AJ1817">
        <v>0</v>
      </c>
      <c r="AK1817">
        <v>0</v>
      </c>
      <c r="AL1817">
        <v>0</v>
      </c>
      <c r="AM1817">
        <v>0</v>
      </c>
      <c r="AN1817">
        <v>0</v>
      </c>
      <c r="AO1817">
        <v>0</v>
      </c>
      <c r="AP1817" s="2">
        <v>42831</v>
      </c>
      <c r="AQ1817" t="s">
        <v>72</v>
      </c>
      <c r="AR1817" t="s">
        <v>72</v>
      </c>
      <c r="AS1817">
        <v>470</v>
      </c>
      <c r="AT1817" s="4">
        <v>42782</v>
      </c>
      <c r="AU1817" t="s">
        <v>73</v>
      </c>
      <c r="AV1817">
        <v>470</v>
      </c>
      <c r="AW1817" s="4">
        <v>42782</v>
      </c>
      <c r="BD1817">
        <v>0</v>
      </c>
      <c r="BN1817" t="s">
        <v>74</v>
      </c>
    </row>
    <row r="1818" spans="1:66">
      <c r="A1818">
        <v>104093</v>
      </c>
      <c r="B1818" t="s">
        <v>379</v>
      </c>
      <c r="C1818" s="1">
        <v>43300101</v>
      </c>
      <c r="D1818" t="s">
        <v>67</v>
      </c>
      <c r="H1818" t="str">
        <f t="shared" si="227"/>
        <v>12572900152</v>
      </c>
      <c r="I1818" t="str">
        <f t="shared" si="228"/>
        <v>06032681006</v>
      </c>
      <c r="K1818" t="str">
        <f>""</f>
        <v/>
      </c>
      <c r="M1818" t="s">
        <v>68</v>
      </c>
      <c r="N1818" t="str">
        <f t="shared" si="226"/>
        <v>FOR</v>
      </c>
      <c r="O1818" t="s">
        <v>69</v>
      </c>
      <c r="P1818" t="s">
        <v>75</v>
      </c>
      <c r="Q1818">
        <v>2016</v>
      </c>
      <c r="R1818" s="4">
        <v>42500</v>
      </c>
      <c r="S1818" s="2">
        <v>42502</v>
      </c>
      <c r="T1818" s="2">
        <v>42501</v>
      </c>
      <c r="U1818" s="4">
        <v>42561</v>
      </c>
      <c r="V1818" t="s">
        <v>71</v>
      </c>
      <c r="W1818" t="str">
        <f>"            25314147"</f>
        <v xml:space="preserve">            25314147</v>
      </c>
      <c r="X1818">
        <v>252.72</v>
      </c>
      <c r="Y1818">
        <v>0</v>
      </c>
      <c r="Z1818" s="5">
        <v>243</v>
      </c>
      <c r="AA1818" s="3">
        <v>221</v>
      </c>
      <c r="AB1818" s="5">
        <v>53703</v>
      </c>
      <c r="AC1818">
        <v>243</v>
      </c>
      <c r="AD1818">
        <v>221</v>
      </c>
      <c r="AE1818" s="1">
        <v>53703</v>
      </c>
      <c r="AF1818">
        <v>0</v>
      </c>
      <c r="AJ1818">
        <v>0</v>
      </c>
      <c r="AK1818">
        <v>0</v>
      </c>
      <c r="AL1818">
        <v>0</v>
      </c>
      <c r="AM1818">
        <v>0</v>
      </c>
      <c r="AN1818">
        <v>0</v>
      </c>
      <c r="AO1818">
        <v>0</v>
      </c>
      <c r="AP1818" s="2">
        <v>42831</v>
      </c>
      <c r="AQ1818" t="s">
        <v>72</v>
      </c>
      <c r="AR1818" t="s">
        <v>72</v>
      </c>
      <c r="AS1818">
        <v>470</v>
      </c>
      <c r="AT1818" s="4">
        <v>42782</v>
      </c>
      <c r="AU1818" t="s">
        <v>73</v>
      </c>
      <c r="AV1818">
        <v>470</v>
      </c>
      <c r="AW1818" s="4">
        <v>42782</v>
      </c>
      <c r="BD1818">
        <v>0</v>
      </c>
      <c r="BN1818" t="s">
        <v>74</v>
      </c>
    </row>
    <row r="1819" spans="1:66">
      <c r="A1819">
        <v>104093</v>
      </c>
      <c r="B1819" t="s">
        <v>379</v>
      </c>
      <c r="C1819" s="1">
        <v>43300101</v>
      </c>
      <c r="D1819" t="s">
        <v>67</v>
      </c>
      <c r="H1819" t="str">
        <f t="shared" ref="H1819:H1847" si="229">"12572900152"</f>
        <v>12572900152</v>
      </c>
      <c r="I1819" t="str">
        <f t="shared" ref="I1819:I1847" si="230">"06032681006"</f>
        <v>06032681006</v>
      </c>
      <c r="K1819" t="str">
        <f>""</f>
        <v/>
      </c>
      <c r="M1819" t="s">
        <v>68</v>
      </c>
      <c r="N1819" t="str">
        <f t="shared" si="226"/>
        <v>FOR</v>
      </c>
      <c r="O1819" t="s">
        <v>69</v>
      </c>
      <c r="P1819" t="s">
        <v>70</v>
      </c>
      <c r="Q1819">
        <v>2016</v>
      </c>
      <c r="R1819" s="4">
        <v>42500</v>
      </c>
      <c r="S1819" s="2">
        <v>42502</v>
      </c>
      <c r="T1819" s="2">
        <v>42502</v>
      </c>
      <c r="U1819" s="4">
        <v>42562</v>
      </c>
      <c r="V1819" t="s">
        <v>71</v>
      </c>
      <c r="W1819" t="str">
        <f>"            25314149"</f>
        <v xml:space="preserve">            25314149</v>
      </c>
      <c r="X1819">
        <v>74.88</v>
      </c>
      <c r="Y1819">
        <v>0</v>
      </c>
      <c r="Z1819" s="5">
        <v>72</v>
      </c>
      <c r="AA1819" s="3">
        <v>220</v>
      </c>
      <c r="AB1819" s="5">
        <v>15840</v>
      </c>
      <c r="AC1819">
        <v>72</v>
      </c>
      <c r="AD1819">
        <v>220</v>
      </c>
      <c r="AE1819" s="1">
        <v>15840</v>
      </c>
      <c r="AF1819">
        <v>0</v>
      </c>
      <c r="AJ1819">
        <v>0</v>
      </c>
      <c r="AK1819">
        <v>0</v>
      </c>
      <c r="AL1819">
        <v>0</v>
      </c>
      <c r="AM1819">
        <v>0</v>
      </c>
      <c r="AN1819">
        <v>0</v>
      </c>
      <c r="AO1819">
        <v>0</v>
      </c>
      <c r="AP1819" s="2">
        <v>42831</v>
      </c>
      <c r="AQ1819" t="s">
        <v>72</v>
      </c>
      <c r="AR1819" t="s">
        <v>72</v>
      </c>
      <c r="AS1819">
        <v>470</v>
      </c>
      <c r="AT1819" s="4">
        <v>42782</v>
      </c>
      <c r="AU1819" t="s">
        <v>73</v>
      </c>
      <c r="AV1819">
        <v>470</v>
      </c>
      <c r="AW1819" s="4">
        <v>42782</v>
      </c>
      <c r="BD1819">
        <v>0</v>
      </c>
      <c r="BN1819" t="s">
        <v>74</v>
      </c>
    </row>
    <row r="1820" spans="1:66">
      <c r="A1820">
        <v>104093</v>
      </c>
      <c r="B1820" t="s">
        <v>379</v>
      </c>
      <c r="C1820" s="1">
        <v>43300101</v>
      </c>
      <c r="D1820" t="s">
        <v>67</v>
      </c>
      <c r="H1820" t="str">
        <f t="shared" si="229"/>
        <v>12572900152</v>
      </c>
      <c r="I1820" t="str">
        <f t="shared" si="230"/>
        <v>06032681006</v>
      </c>
      <c r="K1820" t="str">
        <f>""</f>
        <v/>
      </c>
      <c r="M1820" t="s">
        <v>68</v>
      </c>
      <c r="N1820" t="str">
        <f t="shared" si="226"/>
        <v>FOR</v>
      </c>
      <c r="O1820" t="s">
        <v>69</v>
      </c>
      <c r="P1820" t="s">
        <v>75</v>
      </c>
      <c r="Q1820">
        <v>2016</v>
      </c>
      <c r="R1820" s="4">
        <v>42502</v>
      </c>
      <c r="S1820" s="2">
        <v>42509</v>
      </c>
      <c r="T1820" s="2">
        <v>42507</v>
      </c>
      <c r="U1820" s="4">
        <v>42567</v>
      </c>
      <c r="V1820" t="s">
        <v>71</v>
      </c>
      <c r="W1820" t="str">
        <f>"            25314622"</f>
        <v xml:space="preserve">            25314622</v>
      </c>
      <c r="X1820">
        <v>74.88</v>
      </c>
      <c r="Y1820">
        <v>0</v>
      </c>
      <c r="Z1820" s="5">
        <v>72</v>
      </c>
      <c r="AA1820" s="3">
        <v>228</v>
      </c>
      <c r="AB1820" s="5">
        <v>16416</v>
      </c>
      <c r="AC1820">
        <v>72</v>
      </c>
      <c r="AD1820">
        <v>228</v>
      </c>
      <c r="AE1820" s="1">
        <v>16416</v>
      </c>
      <c r="AF1820">
        <v>2.88</v>
      </c>
      <c r="AJ1820">
        <v>0</v>
      </c>
      <c r="AK1820">
        <v>0</v>
      </c>
      <c r="AL1820">
        <v>0</v>
      </c>
      <c r="AM1820">
        <v>0</v>
      </c>
      <c r="AN1820">
        <v>0</v>
      </c>
      <c r="AO1820">
        <v>0</v>
      </c>
      <c r="AP1820" s="2">
        <v>42831</v>
      </c>
      <c r="AQ1820" t="s">
        <v>72</v>
      </c>
      <c r="AR1820" t="s">
        <v>72</v>
      </c>
      <c r="AS1820">
        <v>664</v>
      </c>
      <c r="AT1820" s="4">
        <v>42795</v>
      </c>
      <c r="AU1820" t="s">
        <v>73</v>
      </c>
      <c r="AV1820">
        <v>664</v>
      </c>
      <c r="AW1820" s="4">
        <v>42795</v>
      </c>
      <c r="BD1820">
        <v>2.88</v>
      </c>
      <c r="BN1820" t="s">
        <v>74</v>
      </c>
    </row>
    <row r="1821" spans="1:66">
      <c r="A1821">
        <v>104093</v>
      </c>
      <c r="B1821" t="s">
        <v>379</v>
      </c>
      <c r="C1821" s="1">
        <v>43300101</v>
      </c>
      <c r="D1821" t="s">
        <v>67</v>
      </c>
      <c r="H1821" t="str">
        <f t="shared" si="229"/>
        <v>12572900152</v>
      </c>
      <c r="I1821" t="str">
        <f t="shared" si="230"/>
        <v>06032681006</v>
      </c>
      <c r="K1821" t="str">
        <f>""</f>
        <v/>
      </c>
      <c r="M1821" t="s">
        <v>68</v>
      </c>
      <c r="N1821" t="str">
        <f t="shared" si="226"/>
        <v>FOR</v>
      </c>
      <c r="O1821" t="s">
        <v>69</v>
      </c>
      <c r="P1821" t="s">
        <v>75</v>
      </c>
      <c r="Q1821">
        <v>2016</v>
      </c>
      <c r="R1821" s="4">
        <v>42503</v>
      </c>
      <c r="S1821" s="2">
        <v>42509</v>
      </c>
      <c r="T1821" s="2">
        <v>42507</v>
      </c>
      <c r="U1821" s="4">
        <v>42567</v>
      </c>
      <c r="V1821" t="s">
        <v>71</v>
      </c>
      <c r="W1821" t="str">
        <f>"            25314985"</f>
        <v xml:space="preserve">            25314985</v>
      </c>
      <c r="X1821" s="1">
        <v>7978.88</v>
      </c>
      <c r="Y1821">
        <v>0</v>
      </c>
      <c r="Z1821" s="5">
        <v>7672</v>
      </c>
      <c r="AA1821" s="3">
        <v>228</v>
      </c>
      <c r="AB1821" s="5">
        <v>1749216</v>
      </c>
      <c r="AC1821" s="1">
        <v>7672</v>
      </c>
      <c r="AD1821">
        <v>228</v>
      </c>
      <c r="AE1821" s="1">
        <v>1749216</v>
      </c>
      <c r="AF1821">
        <v>306.88</v>
      </c>
      <c r="AJ1821">
        <v>0</v>
      </c>
      <c r="AK1821">
        <v>0</v>
      </c>
      <c r="AL1821">
        <v>0</v>
      </c>
      <c r="AM1821">
        <v>0</v>
      </c>
      <c r="AN1821">
        <v>0</v>
      </c>
      <c r="AO1821">
        <v>0</v>
      </c>
      <c r="AP1821" s="2">
        <v>42831</v>
      </c>
      <c r="AQ1821" t="s">
        <v>72</v>
      </c>
      <c r="AR1821" t="s">
        <v>72</v>
      </c>
      <c r="AS1821">
        <v>664</v>
      </c>
      <c r="AT1821" s="4">
        <v>42795</v>
      </c>
      <c r="AU1821" t="s">
        <v>73</v>
      </c>
      <c r="AV1821">
        <v>664</v>
      </c>
      <c r="AW1821" s="4">
        <v>42795</v>
      </c>
      <c r="BD1821">
        <v>306.88</v>
      </c>
      <c r="BN1821" t="s">
        <v>74</v>
      </c>
    </row>
    <row r="1822" spans="1:66">
      <c r="A1822">
        <v>104093</v>
      </c>
      <c r="B1822" t="s">
        <v>379</v>
      </c>
      <c r="C1822" s="1">
        <v>43300101</v>
      </c>
      <c r="D1822" t="s">
        <v>67</v>
      </c>
      <c r="H1822" t="str">
        <f t="shared" si="229"/>
        <v>12572900152</v>
      </c>
      <c r="I1822" t="str">
        <f t="shared" si="230"/>
        <v>06032681006</v>
      </c>
      <c r="K1822" t="str">
        <f>""</f>
        <v/>
      </c>
      <c r="M1822" t="s">
        <v>68</v>
      </c>
      <c r="N1822" t="str">
        <f t="shared" si="226"/>
        <v>FOR</v>
      </c>
      <c r="O1822" t="s">
        <v>69</v>
      </c>
      <c r="P1822" t="s">
        <v>75</v>
      </c>
      <c r="Q1822">
        <v>2016</v>
      </c>
      <c r="R1822" s="4">
        <v>42506</v>
      </c>
      <c r="S1822" s="2">
        <v>42509</v>
      </c>
      <c r="T1822" s="2">
        <v>42507</v>
      </c>
      <c r="U1822" s="4">
        <v>42567</v>
      </c>
      <c r="V1822" t="s">
        <v>71</v>
      </c>
      <c r="W1822" t="str">
        <f>"            25315314"</f>
        <v xml:space="preserve">            25315314</v>
      </c>
      <c r="X1822">
        <v>622.20000000000005</v>
      </c>
      <c r="Y1822">
        <v>0</v>
      </c>
      <c r="Z1822" s="5">
        <v>510</v>
      </c>
      <c r="AA1822" s="3">
        <v>228</v>
      </c>
      <c r="AB1822" s="5">
        <v>116280</v>
      </c>
      <c r="AC1822">
        <v>510</v>
      </c>
      <c r="AD1822">
        <v>228</v>
      </c>
      <c r="AE1822" s="1">
        <v>116280</v>
      </c>
      <c r="AF1822">
        <v>112.2</v>
      </c>
      <c r="AJ1822">
        <v>0</v>
      </c>
      <c r="AK1822">
        <v>0</v>
      </c>
      <c r="AL1822">
        <v>0</v>
      </c>
      <c r="AM1822">
        <v>0</v>
      </c>
      <c r="AN1822">
        <v>0</v>
      </c>
      <c r="AO1822">
        <v>0</v>
      </c>
      <c r="AP1822" s="2">
        <v>42831</v>
      </c>
      <c r="AQ1822" t="s">
        <v>72</v>
      </c>
      <c r="AR1822" t="s">
        <v>72</v>
      </c>
      <c r="AS1822">
        <v>664</v>
      </c>
      <c r="AT1822" s="4">
        <v>42795</v>
      </c>
      <c r="AU1822" t="s">
        <v>73</v>
      </c>
      <c r="AV1822">
        <v>664</v>
      </c>
      <c r="AW1822" s="4">
        <v>42795</v>
      </c>
      <c r="BD1822">
        <v>112.2</v>
      </c>
      <c r="BN1822" t="s">
        <v>74</v>
      </c>
    </row>
    <row r="1823" spans="1:66">
      <c r="A1823">
        <v>104093</v>
      </c>
      <c r="B1823" t="s">
        <v>379</v>
      </c>
      <c r="C1823" s="1">
        <v>43300101</v>
      </c>
      <c r="D1823" t="s">
        <v>67</v>
      </c>
      <c r="H1823" t="str">
        <f t="shared" si="229"/>
        <v>12572900152</v>
      </c>
      <c r="I1823" t="str">
        <f t="shared" si="230"/>
        <v>06032681006</v>
      </c>
      <c r="K1823" t="str">
        <f>""</f>
        <v/>
      </c>
      <c r="M1823" t="s">
        <v>68</v>
      </c>
      <c r="N1823" t="str">
        <f t="shared" si="226"/>
        <v>FOR</v>
      </c>
      <c r="O1823" t="s">
        <v>69</v>
      </c>
      <c r="P1823" t="s">
        <v>75</v>
      </c>
      <c r="Q1823">
        <v>2016</v>
      </c>
      <c r="R1823" s="4">
        <v>42507</v>
      </c>
      <c r="S1823" s="2">
        <v>42515</v>
      </c>
      <c r="T1823" s="2">
        <v>42514</v>
      </c>
      <c r="U1823" s="4">
        <v>42574</v>
      </c>
      <c r="V1823" t="s">
        <v>71</v>
      </c>
      <c r="W1823" t="str">
        <f>"            25315456"</f>
        <v xml:space="preserve">            25315456</v>
      </c>
      <c r="X1823">
        <v>252.72</v>
      </c>
      <c r="Y1823">
        <v>0</v>
      </c>
      <c r="Z1823" s="5">
        <v>243</v>
      </c>
      <c r="AA1823" s="3">
        <v>221</v>
      </c>
      <c r="AB1823" s="5">
        <v>53703</v>
      </c>
      <c r="AC1823">
        <v>243</v>
      </c>
      <c r="AD1823">
        <v>221</v>
      </c>
      <c r="AE1823" s="1">
        <v>53703</v>
      </c>
      <c r="AF1823">
        <v>9.7200000000000006</v>
      </c>
      <c r="AJ1823">
        <v>0</v>
      </c>
      <c r="AK1823">
        <v>0</v>
      </c>
      <c r="AL1823">
        <v>0</v>
      </c>
      <c r="AM1823">
        <v>0</v>
      </c>
      <c r="AN1823">
        <v>0</v>
      </c>
      <c r="AO1823">
        <v>0</v>
      </c>
      <c r="AP1823" s="2">
        <v>42831</v>
      </c>
      <c r="AQ1823" t="s">
        <v>72</v>
      </c>
      <c r="AR1823" t="s">
        <v>72</v>
      </c>
      <c r="AS1823">
        <v>664</v>
      </c>
      <c r="AT1823" s="4">
        <v>42795</v>
      </c>
      <c r="AU1823" t="s">
        <v>73</v>
      </c>
      <c r="AV1823">
        <v>664</v>
      </c>
      <c r="AW1823" s="4">
        <v>42795</v>
      </c>
      <c r="BD1823">
        <v>9.7200000000000006</v>
      </c>
      <c r="BN1823" t="s">
        <v>74</v>
      </c>
    </row>
    <row r="1824" spans="1:66">
      <c r="A1824">
        <v>104093</v>
      </c>
      <c r="B1824" t="s">
        <v>379</v>
      </c>
      <c r="C1824" s="1">
        <v>43300101</v>
      </c>
      <c r="D1824" t="s">
        <v>67</v>
      </c>
      <c r="H1824" t="str">
        <f t="shared" si="229"/>
        <v>12572900152</v>
      </c>
      <c r="I1824" t="str">
        <f t="shared" si="230"/>
        <v>06032681006</v>
      </c>
      <c r="K1824" t="str">
        <f>""</f>
        <v/>
      </c>
      <c r="M1824" t="s">
        <v>68</v>
      </c>
      <c r="N1824" t="str">
        <f t="shared" si="226"/>
        <v>FOR</v>
      </c>
      <c r="O1824" t="s">
        <v>69</v>
      </c>
      <c r="P1824" t="s">
        <v>75</v>
      </c>
      <c r="Q1824">
        <v>2016</v>
      </c>
      <c r="R1824" s="4">
        <v>42507</v>
      </c>
      <c r="S1824" s="2">
        <v>42515</v>
      </c>
      <c r="T1824" s="2">
        <v>42514</v>
      </c>
      <c r="U1824" s="4">
        <v>42574</v>
      </c>
      <c r="V1824" t="s">
        <v>71</v>
      </c>
      <c r="W1824" t="str">
        <f>"            25315457"</f>
        <v xml:space="preserve">            25315457</v>
      </c>
      <c r="X1824">
        <v>707.62</v>
      </c>
      <c r="Y1824">
        <v>0</v>
      </c>
      <c r="Z1824" s="5">
        <v>680.4</v>
      </c>
      <c r="AA1824" s="3">
        <v>221</v>
      </c>
      <c r="AB1824" s="5">
        <v>150368.4</v>
      </c>
      <c r="AC1824">
        <v>680.4</v>
      </c>
      <c r="AD1824">
        <v>221</v>
      </c>
      <c r="AE1824" s="1">
        <v>150368.4</v>
      </c>
      <c r="AF1824">
        <v>27.22</v>
      </c>
      <c r="AJ1824">
        <v>0</v>
      </c>
      <c r="AK1824">
        <v>0</v>
      </c>
      <c r="AL1824">
        <v>0</v>
      </c>
      <c r="AM1824">
        <v>0</v>
      </c>
      <c r="AN1824">
        <v>0</v>
      </c>
      <c r="AO1824">
        <v>0</v>
      </c>
      <c r="AP1824" s="2">
        <v>42831</v>
      </c>
      <c r="AQ1824" t="s">
        <v>72</v>
      </c>
      <c r="AR1824" t="s">
        <v>72</v>
      </c>
      <c r="AS1824">
        <v>664</v>
      </c>
      <c r="AT1824" s="4">
        <v>42795</v>
      </c>
      <c r="AU1824" t="s">
        <v>73</v>
      </c>
      <c r="AV1824">
        <v>664</v>
      </c>
      <c r="AW1824" s="4">
        <v>42795</v>
      </c>
      <c r="BD1824">
        <v>27.22</v>
      </c>
      <c r="BN1824" t="s">
        <v>74</v>
      </c>
    </row>
    <row r="1825" spans="1:66">
      <c r="A1825">
        <v>104093</v>
      </c>
      <c r="B1825" t="s">
        <v>379</v>
      </c>
      <c r="C1825" s="1">
        <v>43300101</v>
      </c>
      <c r="D1825" t="s">
        <v>67</v>
      </c>
      <c r="H1825" t="str">
        <f t="shared" si="229"/>
        <v>12572900152</v>
      </c>
      <c r="I1825" t="str">
        <f t="shared" si="230"/>
        <v>06032681006</v>
      </c>
      <c r="K1825" t="str">
        <f>""</f>
        <v/>
      </c>
      <c r="M1825" t="s">
        <v>68</v>
      </c>
      <c r="N1825" t="str">
        <f t="shared" si="226"/>
        <v>FOR</v>
      </c>
      <c r="O1825" t="s">
        <v>69</v>
      </c>
      <c r="P1825" t="s">
        <v>75</v>
      </c>
      <c r="Q1825">
        <v>2016</v>
      </c>
      <c r="R1825" s="4">
        <v>42507</v>
      </c>
      <c r="S1825" s="2">
        <v>42515</v>
      </c>
      <c r="T1825" s="2">
        <v>42514</v>
      </c>
      <c r="U1825" s="4">
        <v>42574</v>
      </c>
      <c r="V1825" t="s">
        <v>71</v>
      </c>
      <c r="W1825" t="str">
        <f>"            25315460"</f>
        <v xml:space="preserve">            25315460</v>
      </c>
      <c r="X1825">
        <v>74.88</v>
      </c>
      <c r="Y1825">
        <v>0</v>
      </c>
      <c r="Z1825" s="5">
        <v>72</v>
      </c>
      <c r="AA1825" s="3">
        <v>221</v>
      </c>
      <c r="AB1825" s="5">
        <v>15912</v>
      </c>
      <c r="AC1825">
        <v>72</v>
      </c>
      <c r="AD1825">
        <v>221</v>
      </c>
      <c r="AE1825" s="1">
        <v>15912</v>
      </c>
      <c r="AF1825">
        <v>2.88</v>
      </c>
      <c r="AJ1825">
        <v>0</v>
      </c>
      <c r="AK1825">
        <v>0</v>
      </c>
      <c r="AL1825">
        <v>0</v>
      </c>
      <c r="AM1825">
        <v>0</v>
      </c>
      <c r="AN1825">
        <v>0</v>
      </c>
      <c r="AO1825">
        <v>0</v>
      </c>
      <c r="AP1825" s="2">
        <v>42831</v>
      </c>
      <c r="AQ1825" t="s">
        <v>72</v>
      </c>
      <c r="AR1825" t="s">
        <v>72</v>
      </c>
      <c r="AS1825">
        <v>664</v>
      </c>
      <c r="AT1825" s="4">
        <v>42795</v>
      </c>
      <c r="AU1825" t="s">
        <v>73</v>
      </c>
      <c r="AV1825">
        <v>664</v>
      </c>
      <c r="AW1825" s="4">
        <v>42795</v>
      </c>
      <c r="BD1825">
        <v>2.88</v>
      </c>
      <c r="BN1825" t="s">
        <v>74</v>
      </c>
    </row>
    <row r="1826" spans="1:66">
      <c r="A1826">
        <v>104093</v>
      </c>
      <c r="B1826" t="s">
        <v>379</v>
      </c>
      <c r="C1826" s="1">
        <v>43300101</v>
      </c>
      <c r="D1826" t="s">
        <v>67</v>
      </c>
      <c r="H1826" t="str">
        <f t="shared" si="229"/>
        <v>12572900152</v>
      </c>
      <c r="I1826" t="str">
        <f t="shared" si="230"/>
        <v>06032681006</v>
      </c>
      <c r="K1826" t="str">
        <f>""</f>
        <v/>
      </c>
      <c r="M1826" t="s">
        <v>68</v>
      </c>
      <c r="N1826" t="str">
        <f t="shared" si="226"/>
        <v>FOR</v>
      </c>
      <c r="O1826" t="s">
        <v>69</v>
      </c>
      <c r="P1826" t="s">
        <v>75</v>
      </c>
      <c r="Q1826">
        <v>2016</v>
      </c>
      <c r="R1826" s="4">
        <v>42508</v>
      </c>
      <c r="S1826" s="2">
        <v>42515</v>
      </c>
      <c r="T1826" s="2">
        <v>42514</v>
      </c>
      <c r="U1826" s="4">
        <v>42574</v>
      </c>
      <c r="V1826" t="s">
        <v>71</v>
      </c>
      <c r="W1826" t="str">
        <f>"            25315869"</f>
        <v xml:space="preserve">            25315869</v>
      </c>
      <c r="X1826">
        <v>702</v>
      </c>
      <c r="Y1826">
        <v>0</v>
      </c>
      <c r="Z1826" s="5">
        <v>675</v>
      </c>
      <c r="AA1826" s="3">
        <v>221</v>
      </c>
      <c r="AB1826" s="5">
        <v>149175</v>
      </c>
      <c r="AC1826">
        <v>675</v>
      </c>
      <c r="AD1826">
        <v>221</v>
      </c>
      <c r="AE1826" s="1">
        <v>149175</v>
      </c>
      <c r="AF1826">
        <v>27</v>
      </c>
      <c r="AJ1826">
        <v>0</v>
      </c>
      <c r="AK1826">
        <v>0</v>
      </c>
      <c r="AL1826">
        <v>0</v>
      </c>
      <c r="AM1826">
        <v>0</v>
      </c>
      <c r="AN1826">
        <v>0</v>
      </c>
      <c r="AO1826">
        <v>0</v>
      </c>
      <c r="AP1826" s="2">
        <v>42831</v>
      </c>
      <c r="AQ1826" t="s">
        <v>72</v>
      </c>
      <c r="AR1826" t="s">
        <v>72</v>
      </c>
      <c r="AS1826">
        <v>664</v>
      </c>
      <c r="AT1826" s="4">
        <v>42795</v>
      </c>
      <c r="AU1826" t="s">
        <v>73</v>
      </c>
      <c r="AV1826">
        <v>664</v>
      </c>
      <c r="AW1826" s="4">
        <v>42795</v>
      </c>
      <c r="BD1826">
        <v>27</v>
      </c>
      <c r="BN1826" t="s">
        <v>74</v>
      </c>
    </row>
    <row r="1827" spans="1:66">
      <c r="A1827">
        <v>104093</v>
      </c>
      <c r="B1827" t="s">
        <v>379</v>
      </c>
      <c r="C1827" s="1">
        <v>43300101</v>
      </c>
      <c r="D1827" t="s">
        <v>67</v>
      </c>
      <c r="H1827" t="str">
        <f t="shared" si="229"/>
        <v>12572900152</v>
      </c>
      <c r="I1827" t="str">
        <f t="shared" si="230"/>
        <v>06032681006</v>
      </c>
      <c r="K1827" t="str">
        <f>""</f>
        <v/>
      </c>
      <c r="M1827" t="s">
        <v>68</v>
      </c>
      <c r="N1827" t="str">
        <f t="shared" si="226"/>
        <v>FOR</v>
      </c>
      <c r="O1827" t="s">
        <v>69</v>
      </c>
      <c r="P1827" t="s">
        <v>75</v>
      </c>
      <c r="Q1827">
        <v>2016</v>
      </c>
      <c r="R1827" s="4">
        <v>42509</v>
      </c>
      <c r="S1827" s="2">
        <v>42515</v>
      </c>
      <c r="T1827" s="2">
        <v>42514</v>
      </c>
      <c r="U1827" s="4">
        <v>42574</v>
      </c>
      <c r="V1827" t="s">
        <v>71</v>
      </c>
      <c r="W1827" t="str">
        <f>"            25316195"</f>
        <v xml:space="preserve">            25316195</v>
      </c>
      <c r="X1827">
        <v>583.44000000000005</v>
      </c>
      <c r="Y1827">
        <v>0</v>
      </c>
      <c r="Z1827" s="5">
        <v>561</v>
      </c>
      <c r="AA1827" s="3">
        <v>221</v>
      </c>
      <c r="AB1827" s="5">
        <v>123981</v>
      </c>
      <c r="AC1827">
        <v>561</v>
      </c>
      <c r="AD1827">
        <v>221</v>
      </c>
      <c r="AE1827" s="1">
        <v>123981</v>
      </c>
      <c r="AF1827">
        <v>22.44</v>
      </c>
      <c r="AJ1827">
        <v>0</v>
      </c>
      <c r="AK1827">
        <v>0</v>
      </c>
      <c r="AL1827">
        <v>0</v>
      </c>
      <c r="AM1827">
        <v>0</v>
      </c>
      <c r="AN1827">
        <v>0</v>
      </c>
      <c r="AO1827">
        <v>0</v>
      </c>
      <c r="AP1827" s="2">
        <v>42831</v>
      </c>
      <c r="AQ1827" t="s">
        <v>72</v>
      </c>
      <c r="AR1827" t="s">
        <v>72</v>
      </c>
      <c r="AS1827">
        <v>664</v>
      </c>
      <c r="AT1827" s="4">
        <v>42795</v>
      </c>
      <c r="AU1827" t="s">
        <v>73</v>
      </c>
      <c r="AV1827">
        <v>664</v>
      </c>
      <c r="AW1827" s="4">
        <v>42795</v>
      </c>
      <c r="BD1827">
        <v>22.44</v>
      </c>
      <c r="BN1827" t="s">
        <v>74</v>
      </c>
    </row>
    <row r="1828" spans="1:66">
      <c r="A1828">
        <v>104093</v>
      </c>
      <c r="B1828" t="s">
        <v>379</v>
      </c>
      <c r="C1828" s="1">
        <v>43300101</v>
      </c>
      <c r="D1828" t="s">
        <v>67</v>
      </c>
      <c r="H1828" t="str">
        <f t="shared" si="229"/>
        <v>12572900152</v>
      </c>
      <c r="I1828" t="str">
        <f t="shared" si="230"/>
        <v>06032681006</v>
      </c>
      <c r="K1828" t="str">
        <f>""</f>
        <v/>
      </c>
      <c r="M1828" t="s">
        <v>68</v>
      </c>
      <c r="N1828" t="str">
        <f t="shared" si="226"/>
        <v>FOR</v>
      </c>
      <c r="O1828" t="s">
        <v>69</v>
      </c>
      <c r="P1828" t="s">
        <v>75</v>
      </c>
      <c r="Q1828">
        <v>2016</v>
      </c>
      <c r="R1828" s="4">
        <v>42510</v>
      </c>
      <c r="S1828" s="2">
        <v>42527</v>
      </c>
      <c r="T1828" s="2">
        <v>42514</v>
      </c>
      <c r="U1828" s="4">
        <v>42574</v>
      </c>
      <c r="V1828" t="s">
        <v>71</v>
      </c>
      <c r="W1828" t="str">
        <f>"            25316408"</f>
        <v xml:space="preserve">            25316408</v>
      </c>
      <c r="X1828">
        <v>74.88</v>
      </c>
      <c r="Y1828">
        <v>0</v>
      </c>
      <c r="Z1828" s="5">
        <v>72</v>
      </c>
      <c r="AA1828" s="3">
        <v>221</v>
      </c>
      <c r="AB1828" s="5">
        <v>15912</v>
      </c>
      <c r="AC1828">
        <v>72</v>
      </c>
      <c r="AD1828">
        <v>221</v>
      </c>
      <c r="AE1828" s="1">
        <v>15912</v>
      </c>
      <c r="AF1828">
        <v>2.88</v>
      </c>
      <c r="AJ1828">
        <v>0</v>
      </c>
      <c r="AK1828">
        <v>0</v>
      </c>
      <c r="AL1828">
        <v>0</v>
      </c>
      <c r="AM1828">
        <v>0</v>
      </c>
      <c r="AN1828">
        <v>0</v>
      </c>
      <c r="AO1828">
        <v>0</v>
      </c>
      <c r="AP1828" s="2">
        <v>42831</v>
      </c>
      <c r="AQ1828" t="s">
        <v>72</v>
      </c>
      <c r="AR1828" t="s">
        <v>72</v>
      </c>
      <c r="AS1828">
        <v>664</v>
      </c>
      <c r="AT1828" s="4">
        <v>42795</v>
      </c>
      <c r="AU1828" t="s">
        <v>73</v>
      </c>
      <c r="AV1828">
        <v>664</v>
      </c>
      <c r="AW1828" s="4">
        <v>42795</v>
      </c>
      <c r="BD1828">
        <v>2.88</v>
      </c>
      <c r="BN1828" t="s">
        <v>74</v>
      </c>
    </row>
    <row r="1829" spans="1:66">
      <c r="A1829">
        <v>104093</v>
      </c>
      <c r="B1829" t="s">
        <v>379</v>
      </c>
      <c r="C1829" s="1">
        <v>43300101</v>
      </c>
      <c r="D1829" t="s">
        <v>67</v>
      </c>
      <c r="H1829" t="str">
        <f t="shared" si="229"/>
        <v>12572900152</v>
      </c>
      <c r="I1829" t="str">
        <f t="shared" si="230"/>
        <v>06032681006</v>
      </c>
      <c r="K1829" t="str">
        <f>""</f>
        <v/>
      </c>
      <c r="M1829" t="s">
        <v>68</v>
      </c>
      <c r="N1829" t="str">
        <f t="shared" si="226"/>
        <v>FOR</v>
      </c>
      <c r="O1829" t="s">
        <v>69</v>
      </c>
      <c r="P1829" t="s">
        <v>75</v>
      </c>
      <c r="Q1829">
        <v>2016</v>
      </c>
      <c r="R1829" s="4">
        <v>42510</v>
      </c>
      <c r="S1829" s="2">
        <v>42515</v>
      </c>
      <c r="T1829" s="2">
        <v>42514</v>
      </c>
      <c r="U1829" s="4">
        <v>42574</v>
      </c>
      <c r="V1829" t="s">
        <v>71</v>
      </c>
      <c r="W1829" t="str">
        <f>"            25316410"</f>
        <v xml:space="preserve">            25316410</v>
      </c>
      <c r="X1829">
        <v>403.42</v>
      </c>
      <c r="Y1829">
        <v>0</v>
      </c>
      <c r="Z1829" s="5">
        <v>387.9</v>
      </c>
      <c r="AA1829" s="3">
        <v>221</v>
      </c>
      <c r="AB1829" s="5">
        <v>85725.9</v>
      </c>
      <c r="AC1829">
        <v>387.9</v>
      </c>
      <c r="AD1829">
        <v>221</v>
      </c>
      <c r="AE1829" s="1">
        <v>85725.9</v>
      </c>
      <c r="AF1829">
        <v>15.52</v>
      </c>
      <c r="AJ1829">
        <v>0</v>
      </c>
      <c r="AK1829">
        <v>0</v>
      </c>
      <c r="AL1829">
        <v>0</v>
      </c>
      <c r="AM1829">
        <v>0</v>
      </c>
      <c r="AN1829">
        <v>0</v>
      </c>
      <c r="AO1829">
        <v>0</v>
      </c>
      <c r="AP1829" s="2">
        <v>42831</v>
      </c>
      <c r="AQ1829" t="s">
        <v>72</v>
      </c>
      <c r="AR1829" t="s">
        <v>72</v>
      </c>
      <c r="AS1829">
        <v>664</v>
      </c>
      <c r="AT1829" s="4">
        <v>42795</v>
      </c>
      <c r="AU1829" t="s">
        <v>73</v>
      </c>
      <c r="AV1829">
        <v>664</v>
      </c>
      <c r="AW1829" s="4">
        <v>42795</v>
      </c>
      <c r="BD1829">
        <v>15.52</v>
      </c>
      <c r="BN1829" t="s">
        <v>74</v>
      </c>
    </row>
    <row r="1830" spans="1:66">
      <c r="A1830">
        <v>104093</v>
      </c>
      <c r="B1830" t="s">
        <v>379</v>
      </c>
      <c r="C1830" s="1">
        <v>43300101</v>
      </c>
      <c r="D1830" t="s">
        <v>67</v>
      </c>
      <c r="H1830" t="str">
        <f t="shared" si="229"/>
        <v>12572900152</v>
      </c>
      <c r="I1830" t="str">
        <f t="shared" si="230"/>
        <v>06032681006</v>
      </c>
      <c r="K1830" t="str">
        <f>""</f>
        <v/>
      </c>
      <c r="M1830" t="s">
        <v>68</v>
      </c>
      <c r="N1830" t="str">
        <f t="shared" si="226"/>
        <v>FOR</v>
      </c>
      <c r="O1830" t="s">
        <v>69</v>
      </c>
      <c r="P1830" t="s">
        <v>75</v>
      </c>
      <c r="Q1830">
        <v>2016</v>
      </c>
      <c r="R1830" s="4">
        <v>42510</v>
      </c>
      <c r="S1830" s="2">
        <v>42515</v>
      </c>
      <c r="T1830" s="2">
        <v>42514</v>
      </c>
      <c r="U1830" s="4">
        <v>42574</v>
      </c>
      <c r="V1830" t="s">
        <v>71</v>
      </c>
      <c r="W1830" t="str">
        <f>"            25316411"</f>
        <v xml:space="preserve">            25316411</v>
      </c>
      <c r="X1830">
        <v>74.88</v>
      </c>
      <c r="Y1830">
        <v>0</v>
      </c>
      <c r="Z1830" s="5">
        <v>72</v>
      </c>
      <c r="AA1830" s="3">
        <v>221</v>
      </c>
      <c r="AB1830" s="5">
        <v>15912</v>
      </c>
      <c r="AC1830">
        <v>72</v>
      </c>
      <c r="AD1830">
        <v>221</v>
      </c>
      <c r="AE1830" s="1">
        <v>15912</v>
      </c>
      <c r="AF1830">
        <v>2.88</v>
      </c>
      <c r="AJ1830">
        <v>0</v>
      </c>
      <c r="AK1830">
        <v>0</v>
      </c>
      <c r="AL1830">
        <v>0</v>
      </c>
      <c r="AM1830">
        <v>0</v>
      </c>
      <c r="AN1830">
        <v>0</v>
      </c>
      <c r="AO1830">
        <v>0</v>
      </c>
      <c r="AP1830" s="2">
        <v>42831</v>
      </c>
      <c r="AQ1830" t="s">
        <v>72</v>
      </c>
      <c r="AR1830" t="s">
        <v>72</v>
      </c>
      <c r="AS1830">
        <v>664</v>
      </c>
      <c r="AT1830" s="4">
        <v>42795</v>
      </c>
      <c r="AU1830" t="s">
        <v>73</v>
      </c>
      <c r="AV1830">
        <v>664</v>
      </c>
      <c r="AW1830" s="4">
        <v>42795</v>
      </c>
      <c r="BD1830">
        <v>2.88</v>
      </c>
      <c r="BN1830" t="s">
        <v>74</v>
      </c>
    </row>
    <row r="1831" spans="1:66">
      <c r="A1831">
        <v>104093</v>
      </c>
      <c r="B1831" t="s">
        <v>379</v>
      </c>
      <c r="C1831" s="1">
        <v>43300101</v>
      </c>
      <c r="D1831" t="s">
        <v>67</v>
      </c>
      <c r="H1831" t="str">
        <f t="shared" si="229"/>
        <v>12572900152</v>
      </c>
      <c r="I1831" t="str">
        <f t="shared" si="230"/>
        <v>06032681006</v>
      </c>
      <c r="K1831" t="str">
        <f>""</f>
        <v/>
      </c>
      <c r="M1831" t="s">
        <v>68</v>
      </c>
      <c r="N1831" t="str">
        <f t="shared" si="226"/>
        <v>FOR</v>
      </c>
      <c r="O1831" t="s">
        <v>69</v>
      </c>
      <c r="P1831" t="s">
        <v>75</v>
      </c>
      <c r="Q1831">
        <v>2016</v>
      </c>
      <c r="R1831" s="4">
        <v>42510</v>
      </c>
      <c r="S1831" s="2">
        <v>42515</v>
      </c>
      <c r="T1831" s="2">
        <v>42514</v>
      </c>
      <c r="U1831" s="4">
        <v>42574</v>
      </c>
      <c r="V1831" t="s">
        <v>71</v>
      </c>
      <c r="W1831" t="str">
        <f>"            25316412"</f>
        <v xml:space="preserve">            25316412</v>
      </c>
      <c r="X1831">
        <v>74.88</v>
      </c>
      <c r="Y1831">
        <v>0</v>
      </c>
      <c r="Z1831" s="5">
        <v>72</v>
      </c>
      <c r="AA1831" s="3">
        <v>221</v>
      </c>
      <c r="AB1831" s="5">
        <v>15912</v>
      </c>
      <c r="AC1831">
        <v>72</v>
      </c>
      <c r="AD1831">
        <v>221</v>
      </c>
      <c r="AE1831" s="1">
        <v>15912</v>
      </c>
      <c r="AF1831">
        <v>2.88</v>
      </c>
      <c r="AJ1831">
        <v>0</v>
      </c>
      <c r="AK1831">
        <v>0</v>
      </c>
      <c r="AL1831">
        <v>0</v>
      </c>
      <c r="AM1831">
        <v>0</v>
      </c>
      <c r="AN1831">
        <v>0</v>
      </c>
      <c r="AO1831">
        <v>0</v>
      </c>
      <c r="AP1831" s="2">
        <v>42831</v>
      </c>
      <c r="AQ1831" t="s">
        <v>72</v>
      </c>
      <c r="AR1831" t="s">
        <v>72</v>
      </c>
      <c r="AS1831">
        <v>664</v>
      </c>
      <c r="AT1831" s="4">
        <v>42795</v>
      </c>
      <c r="AU1831" t="s">
        <v>73</v>
      </c>
      <c r="AV1831">
        <v>664</v>
      </c>
      <c r="AW1831" s="4">
        <v>42795</v>
      </c>
      <c r="BD1831">
        <v>2.88</v>
      </c>
      <c r="BN1831" t="s">
        <v>74</v>
      </c>
    </row>
    <row r="1832" spans="1:66">
      <c r="A1832">
        <v>104093</v>
      </c>
      <c r="B1832" t="s">
        <v>379</v>
      </c>
      <c r="C1832" s="1">
        <v>43300101</v>
      </c>
      <c r="D1832" t="s">
        <v>67</v>
      </c>
      <c r="H1832" t="str">
        <f t="shared" si="229"/>
        <v>12572900152</v>
      </c>
      <c r="I1832" t="str">
        <f t="shared" si="230"/>
        <v>06032681006</v>
      </c>
      <c r="K1832" t="str">
        <f>""</f>
        <v/>
      </c>
      <c r="M1832" t="s">
        <v>68</v>
      </c>
      <c r="N1832" t="str">
        <f t="shared" si="226"/>
        <v>FOR</v>
      </c>
      <c r="O1832" t="s">
        <v>69</v>
      </c>
      <c r="P1832" t="s">
        <v>75</v>
      </c>
      <c r="Q1832">
        <v>2016</v>
      </c>
      <c r="R1832" s="4">
        <v>42510</v>
      </c>
      <c r="S1832" s="2">
        <v>42515</v>
      </c>
      <c r="T1832" s="2">
        <v>42514</v>
      </c>
      <c r="U1832" s="4">
        <v>42574</v>
      </c>
      <c r="V1832" t="s">
        <v>71</v>
      </c>
      <c r="W1832" t="str">
        <f>"            25316548"</f>
        <v xml:space="preserve">            25316548</v>
      </c>
      <c r="X1832">
        <v>234</v>
      </c>
      <c r="Y1832">
        <v>0</v>
      </c>
      <c r="Z1832" s="5">
        <v>225</v>
      </c>
      <c r="AA1832" s="3">
        <v>221</v>
      </c>
      <c r="AB1832" s="5">
        <v>49725</v>
      </c>
      <c r="AC1832">
        <v>225</v>
      </c>
      <c r="AD1832">
        <v>221</v>
      </c>
      <c r="AE1832" s="1">
        <v>49725</v>
      </c>
      <c r="AF1832">
        <v>9</v>
      </c>
      <c r="AJ1832">
        <v>0</v>
      </c>
      <c r="AK1832">
        <v>0</v>
      </c>
      <c r="AL1832">
        <v>0</v>
      </c>
      <c r="AM1832">
        <v>0</v>
      </c>
      <c r="AN1832">
        <v>0</v>
      </c>
      <c r="AO1832">
        <v>0</v>
      </c>
      <c r="AP1832" s="2">
        <v>42831</v>
      </c>
      <c r="AQ1832" t="s">
        <v>72</v>
      </c>
      <c r="AR1832" t="s">
        <v>72</v>
      </c>
      <c r="AS1832">
        <v>664</v>
      </c>
      <c r="AT1832" s="4">
        <v>42795</v>
      </c>
      <c r="AU1832" t="s">
        <v>73</v>
      </c>
      <c r="AV1832">
        <v>664</v>
      </c>
      <c r="AW1832" s="4">
        <v>42795</v>
      </c>
      <c r="BD1832">
        <v>9</v>
      </c>
      <c r="BN1832" t="s">
        <v>74</v>
      </c>
    </row>
    <row r="1833" spans="1:66">
      <c r="A1833">
        <v>104093</v>
      </c>
      <c r="B1833" t="s">
        <v>379</v>
      </c>
      <c r="C1833" s="1">
        <v>43300101</v>
      </c>
      <c r="D1833" t="s">
        <v>67</v>
      </c>
      <c r="H1833" t="str">
        <f t="shared" si="229"/>
        <v>12572900152</v>
      </c>
      <c r="I1833" t="str">
        <f t="shared" si="230"/>
        <v>06032681006</v>
      </c>
      <c r="K1833" t="str">
        <f>""</f>
        <v/>
      </c>
      <c r="M1833" t="s">
        <v>68</v>
      </c>
      <c r="N1833" t="str">
        <f t="shared" si="226"/>
        <v>FOR</v>
      </c>
      <c r="O1833" t="s">
        <v>69</v>
      </c>
      <c r="P1833" t="s">
        <v>75</v>
      </c>
      <c r="Q1833">
        <v>2016</v>
      </c>
      <c r="R1833" s="4">
        <v>42514</v>
      </c>
      <c r="S1833" s="2">
        <v>42520</v>
      </c>
      <c r="T1833" s="2">
        <v>42516</v>
      </c>
      <c r="U1833" s="4">
        <v>42576</v>
      </c>
      <c r="V1833" t="s">
        <v>71</v>
      </c>
      <c r="W1833" t="str">
        <f>"            25316991"</f>
        <v xml:space="preserve">            25316991</v>
      </c>
      <c r="X1833">
        <v>252.72</v>
      </c>
      <c r="Y1833">
        <v>0</v>
      </c>
      <c r="Z1833" s="5">
        <v>243</v>
      </c>
      <c r="AA1833" s="3">
        <v>219</v>
      </c>
      <c r="AB1833" s="5">
        <v>53217</v>
      </c>
      <c r="AC1833">
        <v>243</v>
      </c>
      <c r="AD1833">
        <v>219</v>
      </c>
      <c r="AE1833" s="1">
        <v>53217</v>
      </c>
      <c r="AF1833">
        <v>9.7200000000000006</v>
      </c>
      <c r="AJ1833">
        <v>0</v>
      </c>
      <c r="AK1833">
        <v>0</v>
      </c>
      <c r="AL1833">
        <v>0</v>
      </c>
      <c r="AM1833">
        <v>0</v>
      </c>
      <c r="AN1833">
        <v>0</v>
      </c>
      <c r="AO1833">
        <v>0</v>
      </c>
      <c r="AP1833" s="2">
        <v>42831</v>
      </c>
      <c r="AQ1833" t="s">
        <v>72</v>
      </c>
      <c r="AR1833" t="s">
        <v>72</v>
      </c>
      <c r="AS1833">
        <v>664</v>
      </c>
      <c r="AT1833" s="4">
        <v>42795</v>
      </c>
      <c r="AU1833" t="s">
        <v>73</v>
      </c>
      <c r="AV1833">
        <v>664</v>
      </c>
      <c r="AW1833" s="4">
        <v>42795</v>
      </c>
      <c r="BD1833">
        <v>9.7200000000000006</v>
      </c>
      <c r="BN1833" t="s">
        <v>74</v>
      </c>
    </row>
    <row r="1834" spans="1:66">
      <c r="A1834">
        <v>104093</v>
      </c>
      <c r="B1834" t="s">
        <v>379</v>
      </c>
      <c r="C1834" s="1">
        <v>43300101</v>
      </c>
      <c r="D1834" t="s">
        <v>67</v>
      </c>
      <c r="H1834" t="str">
        <f t="shared" si="229"/>
        <v>12572900152</v>
      </c>
      <c r="I1834" t="str">
        <f t="shared" si="230"/>
        <v>06032681006</v>
      </c>
      <c r="K1834" t="str">
        <f>""</f>
        <v/>
      </c>
      <c r="M1834" t="s">
        <v>68</v>
      </c>
      <c r="N1834" t="str">
        <f t="shared" ref="N1834:N1862" si="231">"FOR"</f>
        <v>FOR</v>
      </c>
      <c r="O1834" t="s">
        <v>69</v>
      </c>
      <c r="P1834" t="s">
        <v>75</v>
      </c>
      <c r="Q1834">
        <v>2016</v>
      </c>
      <c r="R1834" s="4">
        <v>42514</v>
      </c>
      <c r="S1834" s="2">
        <v>42520</v>
      </c>
      <c r="T1834" s="2">
        <v>42516</v>
      </c>
      <c r="U1834" s="4">
        <v>42576</v>
      </c>
      <c r="V1834" t="s">
        <v>71</v>
      </c>
      <c r="W1834" t="str">
        <f>"            25316996"</f>
        <v xml:space="preserve">            25316996</v>
      </c>
      <c r="X1834">
        <v>926.64</v>
      </c>
      <c r="Y1834">
        <v>0</v>
      </c>
      <c r="Z1834" s="5">
        <v>891</v>
      </c>
      <c r="AA1834" s="3">
        <v>219</v>
      </c>
      <c r="AB1834" s="5">
        <v>195129</v>
      </c>
      <c r="AC1834">
        <v>891</v>
      </c>
      <c r="AD1834">
        <v>219</v>
      </c>
      <c r="AE1834" s="1">
        <v>195129</v>
      </c>
      <c r="AF1834">
        <v>35.64</v>
      </c>
      <c r="AJ1834">
        <v>0</v>
      </c>
      <c r="AK1834">
        <v>0</v>
      </c>
      <c r="AL1834">
        <v>0</v>
      </c>
      <c r="AM1834">
        <v>0</v>
      </c>
      <c r="AN1834">
        <v>0</v>
      </c>
      <c r="AO1834">
        <v>0</v>
      </c>
      <c r="AP1834" s="2">
        <v>42831</v>
      </c>
      <c r="AQ1834" t="s">
        <v>72</v>
      </c>
      <c r="AR1834" t="s">
        <v>72</v>
      </c>
      <c r="AS1834">
        <v>664</v>
      </c>
      <c r="AT1834" s="4">
        <v>42795</v>
      </c>
      <c r="AU1834" t="s">
        <v>73</v>
      </c>
      <c r="AV1834">
        <v>664</v>
      </c>
      <c r="AW1834" s="4">
        <v>42795</v>
      </c>
      <c r="BD1834">
        <v>35.64</v>
      </c>
      <c r="BN1834" t="s">
        <v>74</v>
      </c>
    </row>
    <row r="1835" spans="1:66">
      <c r="A1835">
        <v>104093</v>
      </c>
      <c r="B1835" t="s">
        <v>379</v>
      </c>
      <c r="C1835" s="1">
        <v>43300101</v>
      </c>
      <c r="D1835" t="s">
        <v>67</v>
      </c>
      <c r="H1835" t="str">
        <f t="shared" si="229"/>
        <v>12572900152</v>
      </c>
      <c r="I1835" t="str">
        <f t="shared" si="230"/>
        <v>06032681006</v>
      </c>
      <c r="K1835" t="str">
        <f>""</f>
        <v/>
      </c>
      <c r="M1835" t="s">
        <v>68</v>
      </c>
      <c r="N1835" t="str">
        <f t="shared" si="231"/>
        <v>FOR</v>
      </c>
      <c r="O1835" t="s">
        <v>69</v>
      </c>
      <c r="P1835" t="s">
        <v>75</v>
      </c>
      <c r="Q1835">
        <v>2016</v>
      </c>
      <c r="R1835" s="4">
        <v>42514</v>
      </c>
      <c r="S1835" s="2">
        <v>42520</v>
      </c>
      <c r="T1835" s="2">
        <v>42516</v>
      </c>
      <c r="U1835" s="4">
        <v>42576</v>
      </c>
      <c r="V1835" t="s">
        <v>71</v>
      </c>
      <c r="W1835" t="str">
        <f>"            25316997"</f>
        <v xml:space="preserve">            25316997</v>
      </c>
      <c r="X1835">
        <v>74.88</v>
      </c>
      <c r="Y1835">
        <v>0</v>
      </c>
      <c r="Z1835" s="5">
        <v>72</v>
      </c>
      <c r="AA1835" s="3">
        <v>219</v>
      </c>
      <c r="AB1835" s="5">
        <v>15768</v>
      </c>
      <c r="AC1835">
        <v>72</v>
      </c>
      <c r="AD1835">
        <v>219</v>
      </c>
      <c r="AE1835" s="1">
        <v>15768</v>
      </c>
      <c r="AF1835">
        <v>2.88</v>
      </c>
      <c r="AJ1835">
        <v>0</v>
      </c>
      <c r="AK1835">
        <v>0</v>
      </c>
      <c r="AL1835">
        <v>0</v>
      </c>
      <c r="AM1835">
        <v>0</v>
      </c>
      <c r="AN1835">
        <v>0</v>
      </c>
      <c r="AO1835">
        <v>0</v>
      </c>
      <c r="AP1835" s="2">
        <v>42831</v>
      </c>
      <c r="AQ1835" t="s">
        <v>72</v>
      </c>
      <c r="AR1835" t="s">
        <v>72</v>
      </c>
      <c r="AS1835">
        <v>664</v>
      </c>
      <c r="AT1835" s="4">
        <v>42795</v>
      </c>
      <c r="AU1835" t="s">
        <v>73</v>
      </c>
      <c r="AV1835">
        <v>664</v>
      </c>
      <c r="AW1835" s="4">
        <v>42795</v>
      </c>
      <c r="BD1835">
        <v>2.88</v>
      </c>
      <c r="BN1835" t="s">
        <v>74</v>
      </c>
    </row>
    <row r="1836" spans="1:66">
      <c r="A1836">
        <v>104093</v>
      </c>
      <c r="B1836" t="s">
        <v>379</v>
      </c>
      <c r="C1836" s="1">
        <v>43300101</v>
      </c>
      <c r="D1836" t="s">
        <v>67</v>
      </c>
      <c r="H1836" t="str">
        <f t="shared" si="229"/>
        <v>12572900152</v>
      </c>
      <c r="I1836" t="str">
        <f t="shared" si="230"/>
        <v>06032681006</v>
      </c>
      <c r="K1836" t="str">
        <f>""</f>
        <v/>
      </c>
      <c r="M1836" t="s">
        <v>68</v>
      </c>
      <c r="N1836" t="str">
        <f t="shared" si="231"/>
        <v>FOR</v>
      </c>
      <c r="O1836" t="s">
        <v>69</v>
      </c>
      <c r="P1836" t="s">
        <v>75</v>
      </c>
      <c r="Q1836">
        <v>2016</v>
      </c>
      <c r="R1836" s="4">
        <v>42514</v>
      </c>
      <c r="S1836" s="2">
        <v>42520</v>
      </c>
      <c r="T1836" s="2">
        <v>42516</v>
      </c>
      <c r="U1836" s="4">
        <v>42576</v>
      </c>
      <c r="V1836" t="s">
        <v>71</v>
      </c>
      <c r="W1836" t="str">
        <f>"            25316998"</f>
        <v xml:space="preserve">            25316998</v>
      </c>
      <c r="X1836">
        <v>74.88</v>
      </c>
      <c r="Y1836">
        <v>0</v>
      </c>
      <c r="Z1836" s="5">
        <v>72</v>
      </c>
      <c r="AA1836" s="3">
        <v>219</v>
      </c>
      <c r="AB1836" s="5">
        <v>15768</v>
      </c>
      <c r="AC1836">
        <v>72</v>
      </c>
      <c r="AD1836">
        <v>219</v>
      </c>
      <c r="AE1836" s="1">
        <v>15768</v>
      </c>
      <c r="AF1836">
        <v>2.88</v>
      </c>
      <c r="AJ1836">
        <v>0</v>
      </c>
      <c r="AK1836">
        <v>0</v>
      </c>
      <c r="AL1836">
        <v>0</v>
      </c>
      <c r="AM1836">
        <v>0</v>
      </c>
      <c r="AN1836">
        <v>0</v>
      </c>
      <c r="AO1836">
        <v>0</v>
      </c>
      <c r="AP1836" s="2">
        <v>42831</v>
      </c>
      <c r="AQ1836" t="s">
        <v>72</v>
      </c>
      <c r="AR1836" t="s">
        <v>72</v>
      </c>
      <c r="AS1836">
        <v>664</v>
      </c>
      <c r="AT1836" s="4">
        <v>42795</v>
      </c>
      <c r="AU1836" t="s">
        <v>73</v>
      </c>
      <c r="AV1836">
        <v>664</v>
      </c>
      <c r="AW1836" s="4">
        <v>42795</v>
      </c>
      <c r="BD1836">
        <v>2.88</v>
      </c>
      <c r="BN1836" t="s">
        <v>74</v>
      </c>
    </row>
    <row r="1837" spans="1:66">
      <c r="A1837">
        <v>104093</v>
      </c>
      <c r="B1837" t="s">
        <v>379</v>
      </c>
      <c r="C1837" s="1">
        <v>43300101</v>
      </c>
      <c r="D1837" t="s">
        <v>67</v>
      </c>
      <c r="H1837" t="str">
        <f t="shared" si="229"/>
        <v>12572900152</v>
      </c>
      <c r="I1837" t="str">
        <f t="shared" si="230"/>
        <v>06032681006</v>
      </c>
      <c r="K1837" t="str">
        <f>""</f>
        <v/>
      </c>
      <c r="M1837" t="s">
        <v>68</v>
      </c>
      <c r="N1837" t="str">
        <f t="shared" si="231"/>
        <v>FOR</v>
      </c>
      <c r="O1837" t="s">
        <v>69</v>
      </c>
      <c r="P1837" t="s">
        <v>75</v>
      </c>
      <c r="Q1837">
        <v>2016</v>
      </c>
      <c r="R1837" s="4">
        <v>42517</v>
      </c>
      <c r="S1837" s="2">
        <v>42522</v>
      </c>
      <c r="T1837" s="2">
        <v>42520</v>
      </c>
      <c r="U1837" s="4">
        <v>42580</v>
      </c>
      <c r="V1837" t="s">
        <v>71</v>
      </c>
      <c r="W1837" t="str">
        <f>"            25318056"</f>
        <v xml:space="preserve">            25318056</v>
      </c>
      <c r="X1837">
        <v>474.24</v>
      </c>
      <c r="Y1837">
        <v>0</v>
      </c>
      <c r="Z1837" s="5">
        <v>456</v>
      </c>
      <c r="AA1837" s="3">
        <v>215</v>
      </c>
      <c r="AB1837" s="5">
        <v>98040</v>
      </c>
      <c r="AC1837">
        <v>456</v>
      </c>
      <c r="AD1837">
        <v>215</v>
      </c>
      <c r="AE1837" s="1">
        <v>98040</v>
      </c>
      <c r="AF1837">
        <v>18.239999999999998</v>
      </c>
      <c r="AJ1837">
        <v>0</v>
      </c>
      <c r="AK1837">
        <v>0</v>
      </c>
      <c r="AL1837">
        <v>0</v>
      </c>
      <c r="AM1837">
        <v>0</v>
      </c>
      <c r="AN1837">
        <v>0</v>
      </c>
      <c r="AO1837">
        <v>0</v>
      </c>
      <c r="AP1837" s="2">
        <v>42831</v>
      </c>
      <c r="AQ1837" t="s">
        <v>72</v>
      </c>
      <c r="AR1837" t="s">
        <v>72</v>
      </c>
      <c r="AS1837">
        <v>664</v>
      </c>
      <c r="AT1837" s="4">
        <v>42795</v>
      </c>
      <c r="AU1837" t="s">
        <v>73</v>
      </c>
      <c r="AV1837">
        <v>664</v>
      </c>
      <c r="AW1837" s="4">
        <v>42795</v>
      </c>
      <c r="BD1837">
        <v>18.239999999999998</v>
      </c>
      <c r="BN1837" t="s">
        <v>74</v>
      </c>
    </row>
    <row r="1838" spans="1:66">
      <c r="A1838">
        <v>104093</v>
      </c>
      <c r="B1838" t="s">
        <v>379</v>
      </c>
      <c r="C1838" s="1">
        <v>43300101</v>
      </c>
      <c r="D1838" t="s">
        <v>67</v>
      </c>
      <c r="H1838" t="str">
        <f t="shared" si="229"/>
        <v>12572900152</v>
      </c>
      <c r="I1838" t="str">
        <f t="shared" si="230"/>
        <v>06032681006</v>
      </c>
      <c r="K1838" t="str">
        <f>""</f>
        <v/>
      </c>
      <c r="M1838" t="s">
        <v>68</v>
      </c>
      <c r="N1838" t="str">
        <f t="shared" si="231"/>
        <v>FOR</v>
      </c>
      <c r="O1838" t="s">
        <v>69</v>
      </c>
      <c r="P1838" t="s">
        <v>75</v>
      </c>
      <c r="Q1838">
        <v>2016</v>
      </c>
      <c r="R1838" s="4">
        <v>42520</v>
      </c>
      <c r="S1838" s="2">
        <v>42522</v>
      </c>
      <c r="T1838" s="2">
        <v>42521</v>
      </c>
      <c r="U1838" s="4">
        <v>42581</v>
      </c>
      <c r="V1838" t="s">
        <v>71</v>
      </c>
      <c r="W1838" t="str">
        <f>"            25318193"</f>
        <v xml:space="preserve">            25318193</v>
      </c>
      <c r="X1838">
        <v>252.72</v>
      </c>
      <c r="Y1838">
        <v>0</v>
      </c>
      <c r="Z1838" s="5">
        <v>243</v>
      </c>
      <c r="AA1838" s="3">
        <v>214</v>
      </c>
      <c r="AB1838" s="5">
        <v>52002</v>
      </c>
      <c r="AC1838">
        <v>243</v>
      </c>
      <c r="AD1838">
        <v>214</v>
      </c>
      <c r="AE1838" s="1">
        <v>52002</v>
      </c>
      <c r="AF1838">
        <v>9.7200000000000006</v>
      </c>
      <c r="AJ1838">
        <v>0</v>
      </c>
      <c r="AK1838">
        <v>0</v>
      </c>
      <c r="AL1838">
        <v>0</v>
      </c>
      <c r="AM1838">
        <v>0</v>
      </c>
      <c r="AN1838">
        <v>0</v>
      </c>
      <c r="AO1838">
        <v>0</v>
      </c>
      <c r="AP1838" s="2">
        <v>42831</v>
      </c>
      <c r="AQ1838" t="s">
        <v>72</v>
      </c>
      <c r="AR1838" t="s">
        <v>72</v>
      </c>
      <c r="AS1838">
        <v>664</v>
      </c>
      <c r="AT1838" s="4">
        <v>42795</v>
      </c>
      <c r="AU1838" t="s">
        <v>73</v>
      </c>
      <c r="AV1838">
        <v>664</v>
      </c>
      <c r="AW1838" s="4">
        <v>42795</v>
      </c>
      <c r="BD1838">
        <v>9.7200000000000006</v>
      </c>
      <c r="BN1838" t="s">
        <v>74</v>
      </c>
    </row>
    <row r="1839" spans="1:66">
      <c r="A1839">
        <v>104093</v>
      </c>
      <c r="B1839" t="s">
        <v>379</v>
      </c>
      <c r="C1839" s="1">
        <v>43300101</v>
      </c>
      <c r="D1839" t="s">
        <v>67</v>
      </c>
      <c r="H1839" t="str">
        <f t="shared" si="229"/>
        <v>12572900152</v>
      </c>
      <c r="I1839" t="str">
        <f t="shared" si="230"/>
        <v>06032681006</v>
      </c>
      <c r="K1839" t="str">
        <f>""</f>
        <v/>
      </c>
      <c r="M1839" t="s">
        <v>68</v>
      </c>
      <c r="N1839" t="str">
        <f t="shared" si="231"/>
        <v>FOR</v>
      </c>
      <c r="O1839" t="s">
        <v>69</v>
      </c>
      <c r="P1839" t="s">
        <v>75</v>
      </c>
      <c r="Q1839">
        <v>2016</v>
      </c>
      <c r="R1839" s="4">
        <v>42520</v>
      </c>
      <c r="S1839" s="2">
        <v>42522</v>
      </c>
      <c r="T1839" s="2">
        <v>42521</v>
      </c>
      <c r="U1839" s="4">
        <v>42581</v>
      </c>
      <c r="V1839" t="s">
        <v>71</v>
      </c>
      <c r="W1839" t="str">
        <f>"            25318195"</f>
        <v xml:space="preserve">            25318195</v>
      </c>
      <c r="X1839">
        <v>74.88</v>
      </c>
      <c r="Y1839">
        <v>0</v>
      </c>
      <c r="Z1839" s="5">
        <v>72</v>
      </c>
      <c r="AA1839" s="3">
        <v>214</v>
      </c>
      <c r="AB1839" s="5">
        <v>15408</v>
      </c>
      <c r="AC1839">
        <v>72</v>
      </c>
      <c r="AD1839">
        <v>214</v>
      </c>
      <c r="AE1839" s="1">
        <v>15408</v>
      </c>
      <c r="AF1839">
        <v>2.88</v>
      </c>
      <c r="AJ1839">
        <v>0</v>
      </c>
      <c r="AK1839">
        <v>0</v>
      </c>
      <c r="AL1839">
        <v>0</v>
      </c>
      <c r="AM1839">
        <v>0</v>
      </c>
      <c r="AN1839">
        <v>0</v>
      </c>
      <c r="AO1839">
        <v>0</v>
      </c>
      <c r="AP1839" s="2">
        <v>42831</v>
      </c>
      <c r="AQ1839" t="s">
        <v>72</v>
      </c>
      <c r="AR1839" t="s">
        <v>72</v>
      </c>
      <c r="AS1839">
        <v>664</v>
      </c>
      <c r="AT1839" s="4">
        <v>42795</v>
      </c>
      <c r="AU1839" t="s">
        <v>73</v>
      </c>
      <c r="AV1839">
        <v>664</v>
      </c>
      <c r="AW1839" s="4">
        <v>42795</v>
      </c>
      <c r="BD1839">
        <v>2.88</v>
      </c>
      <c r="BN1839" t="s">
        <v>74</v>
      </c>
    </row>
    <row r="1840" spans="1:66">
      <c r="A1840">
        <v>104093</v>
      </c>
      <c r="B1840" t="s">
        <v>379</v>
      </c>
      <c r="C1840" s="1">
        <v>43300101</v>
      </c>
      <c r="D1840" t="s">
        <v>67</v>
      </c>
      <c r="H1840" t="str">
        <f t="shared" si="229"/>
        <v>12572900152</v>
      </c>
      <c r="I1840" t="str">
        <f t="shared" si="230"/>
        <v>06032681006</v>
      </c>
      <c r="K1840" t="str">
        <f>""</f>
        <v/>
      </c>
      <c r="M1840" t="s">
        <v>68</v>
      </c>
      <c r="N1840" t="str">
        <f t="shared" si="231"/>
        <v>FOR</v>
      </c>
      <c r="O1840" t="s">
        <v>69</v>
      </c>
      <c r="P1840" t="s">
        <v>75</v>
      </c>
      <c r="Q1840">
        <v>2016</v>
      </c>
      <c r="R1840" s="4">
        <v>42520</v>
      </c>
      <c r="S1840" s="2">
        <v>42522</v>
      </c>
      <c r="T1840" s="2">
        <v>42521</v>
      </c>
      <c r="U1840" s="4">
        <v>42581</v>
      </c>
      <c r="V1840" t="s">
        <v>71</v>
      </c>
      <c r="W1840" t="str">
        <f>"            25318196"</f>
        <v xml:space="preserve">            25318196</v>
      </c>
      <c r="X1840">
        <v>707.62</v>
      </c>
      <c r="Y1840">
        <v>0</v>
      </c>
      <c r="Z1840" s="5">
        <v>680.4</v>
      </c>
      <c r="AA1840" s="3">
        <v>214</v>
      </c>
      <c r="AB1840" s="5">
        <v>145605.6</v>
      </c>
      <c r="AC1840">
        <v>680.4</v>
      </c>
      <c r="AD1840">
        <v>214</v>
      </c>
      <c r="AE1840" s="1">
        <v>145605.6</v>
      </c>
      <c r="AF1840">
        <v>27.22</v>
      </c>
      <c r="AJ1840">
        <v>0</v>
      </c>
      <c r="AK1840">
        <v>0</v>
      </c>
      <c r="AL1840">
        <v>0</v>
      </c>
      <c r="AM1840">
        <v>0</v>
      </c>
      <c r="AN1840">
        <v>0</v>
      </c>
      <c r="AO1840">
        <v>0</v>
      </c>
      <c r="AP1840" s="2">
        <v>42831</v>
      </c>
      <c r="AQ1840" t="s">
        <v>72</v>
      </c>
      <c r="AR1840" t="s">
        <v>72</v>
      </c>
      <c r="AS1840">
        <v>664</v>
      </c>
      <c r="AT1840" s="4">
        <v>42795</v>
      </c>
      <c r="AU1840" t="s">
        <v>73</v>
      </c>
      <c r="AV1840">
        <v>664</v>
      </c>
      <c r="AW1840" s="4">
        <v>42795</v>
      </c>
      <c r="BD1840">
        <v>27.22</v>
      </c>
      <c r="BN1840" t="s">
        <v>74</v>
      </c>
    </row>
    <row r="1841" spans="1:66">
      <c r="A1841">
        <v>104093</v>
      </c>
      <c r="B1841" t="s">
        <v>379</v>
      </c>
      <c r="C1841" s="1">
        <v>43300101</v>
      </c>
      <c r="D1841" t="s">
        <v>67</v>
      </c>
      <c r="H1841" t="str">
        <f t="shared" si="229"/>
        <v>12572900152</v>
      </c>
      <c r="I1841" t="str">
        <f t="shared" si="230"/>
        <v>06032681006</v>
      </c>
      <c r="K1841" t="str">
        <f>""</f>
        <v/>
      </c>
      <c r="M1841" t="s">
        <v>68</v>
      </c>
      <c r="N1841" t="str">
        <f t="shared" si="231"/>
        <v>FOR</v>
      </c>
      <c r="O1841" t="s">
        <v>69</v>
      </c>
      <c r="P1841" t="s">
        <v>75</v>
      </c>
      <c r="Q1841">
        <v>2016</v>
      </c>
      <c r="R1841" s="4">
        <v>42520</v>
      </c>
      <c r="S1841" s="2">
        <v>42522</v>
      </c>
      <c r="T1841" s="2">
        <v>42521</v>
      </c>
      <c r="U1841" s="4">
        <v>42581</v>
      </c>
      <c r="V1841" t="s">
        <v>71</v>
      </c>
      <c r="W1841" t="str">
        <f>"            25318399"</f>
        <v xml:space="preserve">            25318399</v>
      </c>
      <c r="X1841" s="1">
        <v>3129.3</v>
      </c>
      <c r="Y1841">
        <v>0</v>
      </c>
      <c r="Z1841" s="5">
        <v>2565</v>
      </c>
      <c r="AA1841" s="3">
        <v>214</v>
      </c>
      <c r="AB1841" s="5">
        <v>548910</v>
      </c>
      <c r="AC1841" s="1">
        <v>2565</v>
      </c>
      <c r="AD1841">
        <v>214</v>
      </c>
      <c r="AE1841" s="1">
        <v>548910</v>
      </c>
      <c r="AF1841">
        <v>564.29999999999995</v>
      </c>
      <c r="AJ1841">
        <v>0</v>
      </c>
      <c r="AK1841">
        <v>0</v>
      </c>
      <c r="AL1841">
        <v>0</v>
      </c>
      <c r="AM1841">
        <v>0</v>
      </c>
      <c r="AN1841">
        <v>0</v>
      </c>
      <c r="AO1841">
        <v>0</v>
      </c>
      <c r="AP1841" s="2">
        <v>42831</v>
      </c>
      <c r="AQ1841" t="s">
        <v>72</v>
      </c>
      <c r="AR1841" t="s">
        <v>72</v>
      </c>
      <c r="AS1841">
        <v>664</v>
      </c>
      <c r="AT1841" s="4">
        <v>42795</v>
      </c>
      <c r="AU1841" t="s">
        <v>73</v>
      </c>
      <c r="AV1841">
        <v>664</v>
      </c>
      <c r="AW1841" s="4">
        <v>42795</v>
      </c>
      <c r="BD1841">
        <v>564.29999999999995</v>
      </c>
      <c r="BN1841" t="s">
        <v>74</v>
      </c>
    </row>
    <row r="1842" spans="1:66">
      <c r="A1842">
        <v>104093</v>
      </c>
      <c r="B1842" t="s">
        <v>379</v>
      </c>
      <c r="C1842" s="1">
        <v>43300101</v>
      </c>
      <c r="D1842" t="s">
        <v>67</v>
      </c>
      <c r="H1842" t="str">
        <f t="shared" si="229"/>
        <v>12572900152</v>
      </c>
      <c r="I1842" t="str">
        <f t="shared" si="230"/>
        <v>06032681006</v>
      </c>
      <c r="K1842" t="str">
        <f>""</f>
        <v/>
      </c>
      <c r="M1842" t="s">
        <v>68</v>
      </c>
      <c r="N1842" t="str">
        <f t="shared" si="231"/>
        <v>FOR</v>
      </c>
      <c r="O1842" t="s">
        <v>69</v>
      </c>
      <c r="P1842" t="s">
        <v>75</v>
      </c>
      <c r="Q1842">
        <v>2016</v>
      </c>
      <c r="R1842" s="4">
        <v>42520</v>
      </c>
      <c r="S1842" s="2">
        <v>42521</v>
      </c>
      <c r="T1842" s="2">
        <v>42521</v>
      </c>
      <c r="U1842" s="4">
        <v>42581</v>
      </c>
      <c r="V1842" t="s">
        <v>71</v>
      </c>
      <c r="W1842" t="str">
        <f>"            25318405"</f>
        <v xml:space="preserve">            25318405</v>
      </c>
      <c r="X1842" s="1">
        <v>3733.2</v>
      </c>
      <c r="Y1842">
        <v>0</v>
      </c>
      <c r="Z1842" s="5">
        <v>3060</v>
      </c>
      <c r="AA1842" s="3">
        <v>214</v>
      </c>
      <c r="AB1842" s="5">
        <v>654840</v>
      </c>
      <c r="AC1842" s="1">
        <v>3060</v>
      </c>
      <c r="AD1842">
        <v>214</v>
      </c>
      <c r="AE1842" s="1">
        <v>654840</v>
      </c>
      <c r="AF1842">
        <v>673.2</v>
      </c>
      <c r="AJ1842">
        <v>0</v>
      </c>
      <c r="AK1842">
        <v>0</v>
      </c>
      <c r="AL1842">
        <v>0</v>
      </c>
      <c r="AM1842">
        <v>0</v>
      </c>
      <c r="AN1842">
        <v>0</v>
      </c>
      <c r="AO1842">
        <v>0</v>
      </c>
      <c r="AP1842" s="2">
        <v>42831</v>
      </c>
      <c r="AQ1842" t="s">
        <v>72</v>
      </c>
      <c r="AR1842" t="s">
        <v>72</v>
      </c>
      <c r="AS1842">
        <v>664</v>
      </c>
      <c r="AT1842" s="4">
        <v>42795</v>
      </c>
      <c r="AU1842" t="s">
        <v>73</v>
      </c>
      <c r="AV1842">
        <v>664</v>
      </c>
      <c r="AW1842" s="4">
        <v>42795</v>
      </c>
      <c r="BD1842">
        <v>673.2</v>
      </c>
      <c r="BN1842" t="s">
        <v>74</v>
      </c>
    </row>
    <row r="1843" spans="1:66">
      <c r="A1843">
        <v>104093</v>
      </c>
      <c r="B1843" t="s">
        <v>379</v>
      </c>
      <c r="C1843" s="1">
        <v>43300101</v>
      </c>
      <c r="D1843" t="s">
        <v>67</v>
      </c>
      <c r="H1843" t="str">
        <f t="shared" si="229"/>
        <v>12572900152</v>
      </c>
      <c r="I1843" t="str">
        <f t="shared" si="230"/>
        <v>06032681006</v>
      </c>
      <c r="K1843" t="str">
        <f>""</f>
        <v/>
      </c>
      <c r="M1843" t="s">
        <v>68</v>
      </c>
      <c r="N1843" t="str">
        <f t="shared" si="231"/>
        <v>FOR</v>
      </c>
      <c r="O1843" t="s">
        <v>69</v>
      </c>
      <c r="P1843" t="s">
        <v>75</v>
      </c>
      <c r="Q1843">
        <v>2016</v>
      </c>
      <c r="R1843" s="4">
        <v>42520</v>
      </c>
      <c r="S1843" s="2">
        <v>42522</v>
      </c>
      <c r="T1843" s="2">
        <v>42521</v>
      </c>
      <c r="U1843" s="4">
        <v>42581</v>
      </c>
      <c r="V1843" t="s">
        <v>71</v>
      </c>
      <c r="W1843" t="str">
        <f>"            25318406"</f>
        <v xml:space="preserve">            25318406</v>
      </c>
      <c r="X1843">
        <v>942.24</v>
      </c>
      <c r="Y1843">
        <v>0</v>
      </c>
      <c r="Z1843" s="5">
        <v>906</v>
      </c>
      <c r="AA1843" s="3">
        <v>214</v>
      </c>
      <c r="AB1843" s="5">
        <v>193884</v>
      </c>
      <c r="AC1843">
        <v>906</v>
      </c>
      <c r="AD1843">
        <v>214</v>
      </c>
      <c r="AE1843" s="1">
        <v>193884</v>
      </c>
      <c r="AF1843">
        <v>36.24</v>
      </c>
      <c r="AJ1843">
        <v>0</v>
      </c>
      <c r="AK1843">
        <v>0</v>
      </c>
      <c r="AL1843">
        <v>0</v>
      </c>
      <c r="AM1843">
        <v>0</v>
      </c>
      <c r="AN1843">
        <v>0</v>
      </c>
      <c r="AO1843">
        <v>0</v>
      </c>
      <c r="AP1843" s="2">
        <v>42831</v>
      </c>
      <c r="AQ1843" t="s">
        <v>72</v>
      </c>
      <c r="AR1843" t="s">
        <v>72</v>
      </c>
      <c r="AS1843">
        <v>664</v>
      </c>
      <c r="AT1843" s="4">
        <v>42795</v>
      </c>
      <c r="AU1843" t="s">
        <v>73</v>
      </c>
      <c r="AV1843">
        <v>664</v>
      </c>
      <c r="AW1843" s="4">
        <v>42795</v>
      </c>
      <c r="BD1843">
        <v>36.24</v>
      </c>
      <c r="BN1843" t="s">
        <v>74</v>
      </c>
    </row>
    <row r="1844" spans="1:66">
      <c r="A1844">
        <v>104093</v>
      </c>
      <c r="B1844" t="s">
        <v>379</v>
      </c>
      <c r="C1844" s="1">
        <v>43300101</v>
      </c>
      <c r="D1844" t="s">
        <v>67</v>
      </c>
      <c r="H1844" t="str">
        <f t="shared" si="229"/>
        <v>12572900152</v>
      </c>
      <c r="I1844" t="str">
        <f t="shared" si="230"/>
        <v>06032681006</v>
      </c>
      <c r="K1844" t="str">
        <f>""</f>
        <v/>
      </c>
      <c r="M1844" t="s">
        <v>68</v>
      </c>
      <c r="N1844" t="str">
        <f t="shared" si="231"/>
        <v>FOR</v>
      </c>
      <c r="O1844" t="s">
        <v>69</v>
      </c>
      <c r="P1844" t="s">
        <v>75</v>
      </c>
      <c r="Q1844">
        <v>2016</v>
      </c>
      <c r="R1844" s="4">
        <v>42520</v>
      </c>
      <c r="S1844" s="2">
        <v>42522</v>
      </c>
      <c r="T1844" s="2">
        <v>42521</v>
      </c>
      <c r="U1844" s="4">
        <v>42581</v>
      </c>
      <c r="V1844" t="s">
        <v>71</v>
      </c>
      <c r="W1844" t="str">
        <f>"            25318407"</f>
        <v xml:space="preserve">            25318407</v>
      </c>
      <c r="X1844" s="1">
        <v>6807.6</v>
      </c>
      <c r="Y1844">
        <v>0</v>
      </c>
      <c r="Z1844" s="5">
        <v>5580</v>
      </c>
      <c r="AA1844" s="3">
        <v>214</v>
      </c>
      <c r="AB1844" s="5">
        <v>1194120</v>
      </c>
      <c r="AC1844" s="1">
        <v>5580</v>
      </c>
      <c r="AD1844">
        <v>214</v>
      </c>
      <c r="AE1844" s="1">
        <v>1194120</v>
      </c>
      <c r="AF1844" s="1">
        <v>1227.5999999999999</v>
      </c>
      <c r="AJ1844">
        <v>0</v>
      </c>
      <c r="AK1844">
        <v>0</v>
      </c>
      <c r="AL1844">
        <v>0</v>
      </c>
      <c r="AM1844">
        <v>0</v>
      </c>
      <c r="AN1844">
        <v>0</v>
      </c>
      <c r="AO1844">
        <v>0</v>
      </c>
      <c r="AP1844" s="2">
        <v>42831</v>
      </c>
      <c r="AQ1844" t="s">
        <v>72</v>
      </c>
      <c r="AR1844" t="s">
        <v>72</v>
      </c>
      <c r="AS1844">
        <v>664</v>
      </c>
      <c r="AT1844" s="4">
        <v>42795</v>
      </c>
      <c r="AU1844" t="s">
        <v>73</v>
      </c>
      <c r="AV1844">
        <v>664</v>
      </c>
      <c r="AW1844" s="4">
        <v>42795</v>
      </c>
      <c r="BD1844" s="1">
        <v>1227.5999999999999</v>
      </c>
      <c r="BN1844" t="s">
        <v>74</v>
      </c>
    </row>
    <row r="1845" spans="1:66">
      <c r="A1845">
        <v>104093</v>
      </c>
      <c r="B1845" t="s">
        <v>379</v>
      </c>
      <c r="C1845" s="1">
        <v>43300101</v>
      </c>
      <c r="D1845" t="s">
        <v>67</v>
      </c>
      <c r="H1845" t="str">
        <f t="shared" si="229"/>
        <v>12572900152</v>
      </c>
      <c r="I1845" t="str">
        <f t="shared" si="230"/>
        <v>06032681006</v>
      </c>
      <c r="K1845" t="str">
        <f>""</f>
        <v/>
      </c>
      <c r="M1845" t="s">
        <v>68</v>
      </c>
      <c r="N1845" t="str">
        <f t="shared" si="231"/>
        <v>FOR</v>
      </c>
      <c r="O1845" t="s">
        <v>69</v>
      </c>
      <c r="P1845" t="s">
        <v>75</v>
      </c>
      <c r="Q1845">
        <v>2016</v>
      </c>
      <c r="R1845" s="4">
        <v>42521</v>
      </c>
      <c r="S1845" s="2">
        <v>42530</v>
      </c>
      <c r="T1845" s="2">
        <v>42524</v>
      </c>
      <c r="U1845" s="4">
        <v>42584</v>
      </c>
      <c r="V1845" t="s">
        <v>71</v>
      </c>
      <c r="W1845" t="str">
        <f>"            25318775"</f>
        <v xml:space="preserve">            25318775</v>
      </c>
      <c r="X1845">
        <v>252.72</v>
      </c>
      <c r="Y1845">
        <v>0</v>
      </c>
      <c r="Z1845" s="5">
        <v>243</v>
      </c>
      <c r="AA1845" s="3">
        <v>211</v>
      </c>
      <c r="AB1845" s="5">
        <v>51273</v>
      </c>
      <c r="AC1845">
        <v>243</v>
      </c>
      <c r="AD1845">
        <v>211</v>
      </c>
      <c r="AE1845" s="1">
        <v>51273</v>
      </c>
      <c r="AF1845">
        <v>9.7200000000000006</v>
      </c>
      <c r="AJ1845">
        <v>0</v>
      </c>
      <c r="AK1845">
        <v>0</v>
      </c>
      <c r="AL1845">
        <v>0</v>
      </c>
      <c r="AM1845">
        <v>0</v>
      </c>
      <c r="AN1845">
        <v>0</v>
      </c>
      <c r="AO1845">
        <v>0</v>
      </c>
      <c r="AP1845" s="2">
        <v>42831</v>
      </c>
      <c r="AQ1845" t="s">
        <v>72</v>
      </c>
      <c r="AR1845" t="s">
        <v>72</v>
      </c>
      <c r="AS1845">
        <v>664</v>
      </c>
      <c r="AT1845" s="4">
        <v>42795</v>
      </c>
      <c r="AU1845" t="s">
        <v>73</v>
      </c>
      <c r="AV1845">
        <v>664</v>
      </c>
      <c r="AW1845" s="4">
        <v>42795</v>
      </c>
      <c r="BD1845">
        <v>9.7200000000000006</v>
      </c>
      <c r="BN1845" t="s">
        <v>74</v>
      </c>
    </row>
    <row r="1846" spans="1:66">
      <c r="A1846">
        <v>104093</v>
      </c>
      <c r="B1846" t="s">
        <v>379</v>
      </c>
      <c r="C1846" s="1">
        <v>43300101</v>
      </c>
      <c r="D1846" t="s">
        <v>67</v>
      </c>
      <c r="H1846" t="str">
        <f t="shared" si="229"/>
        <v>12572900152</v>
      </c>
      <c r="I1846" t="str">
        <f t="shared" si="230"/>
        <v>06032681006</v>
      </c>
      <c r="K1846" t="str">
        <f>""</f>
        <v/>
      </c>
      <c r="M1846" t="s">
        <v>68</v>
      </c>
      <c r="N1846" t="str">
        <f t="shared" si="231"/>
        <v>FOR</v>
      </c>
      <c r="O1846" t="s">
        <v>69</v>
      </c>
      <c r="P1846" t="s">
        <v>75</v>
      </c>
      <c r="Q1846">
        <v>2016</v>
      </c>
      <c r="R1846" s="4">
        <v>42521</v>
      </c>
      <c r="S1846" s="2">
        <v>42530</v>
      </c>
      <c r="T1846" s="2">
        <v>42524</v>
      </c>
      <c r="U1846" s="4">
        <v>42584</v>
      </c>
      <c r="V1846" t="s">
        <v>71</v>
      </c>
      <c r="W1846" t="str">
        <f>"            25318783"</f>
        <v xml:space="preserve">            25318783</v>
      </c>
      <c r="X1846">
        <v>707.62</v>
      </c>
      <c r="Y1846">
        <v>0</v>
      </c>
      <c r="Z1846" s="5">
        <v>680.4</v>
      </c>
      <c r="AA1846" s="3">
        <v>211</v>
      </c>
      <c r="AB1846" s="5">
        <v>143564.4</v>
      </c>
      <c r="AC1846">
        <v>680.4</v>
      </c>
      <c r="AD1846">
        <v>211</v>
      </c>
      <c r="AE1846" s="1">
        <v>143564.4</v>
      </c>
      <c r="AF1846">
        <v>27.22</v>
      </c>
      <c r="AJ1846">
        <v>0</v>
      </c>
      <c r="AK1846">
        <v>0</v>
      </c>
      <c r="AL1846">
        <v>0</v>
      </c>
      <c r="AM1846">
        <v>0</v>
      </c>
      <c r="AN1846">
        <v>0</v>
      </c>
      <c r="AO1846">
        <v>0</v>
      </c>
      <c r="AP1846" s="2">
        <v>42831</v>
      </c>
      <c r="AQ1846" t="s">
        <v>72</v>
      </c>
      <c r="AR1846" t="s">
        <v>72</v>
      </c>
      <c r="AS1846">
        <v>664</v>
      </c>
      <c r="AT1846" s="4">
        <v>42795</v>
      </c>
      <c r="AU1846" t="s">
        <v>73</v>
      </c>
      <c r="AV1846">
        <v>664</v>
      </c>
      <c r="AW1846" s="4">
        <v>42795</v>
      </c>
      <c r="BD1846">
        <v>27.22</v>
      </c>
      <c r="BN1846" t="s">
        <v>74</v>
      </c>
    </row>
    <row r="1847" spans="1:66">
      <c r="A1847">
        <v>104093</v>
      </c>
      <c r="B1847" t="s">
        <v>379</v>
      </c>
      <c r="C1847" s="1">
        <v>43300101</v>
      </c>
      <c r="D1847" t="s">
        <v>67</v>
      </c>
      <c r="H1847" t="str">
        <f t="shared" si="229"/>
        <v>12572900152</v>
      </c>
      <c r="I1847" t="str">
        <f t="shared" si="230"/>
        <v>06032681006</v>
      </c>
      <c r="K1847" t="str">
        <f>""</f>
        <v/>
      </c>
      <c r="M1847" t="s">
        <v>68</v>
      </c>
      <c r="N1847" t="str">
        <f t="shared" si="231"/>
        <v>FOR</v>
      </c>
      <c r="O1847" t="s">
        <v>69</v>
      </c>
      <c r="P1847" t="s">
        <v>75</v>
      </c>
      <c r="Q1847">
        <v>2016</v>
      </c>
      <c r="R1847" s="4">
        <v>42521</v>
      </c>
      <c r="S1847" s="2">
        <v>42530</v>
      </c>
      <c r="T1847" s="2">
        <v>42524</v>
      </c>
      <c r="U1847" s="4">
        <v>42584</v>
      </c>
      <c r="V1847" t="s">
        <v>71</v>
      </c>
      <c r="W1847" t="str">
        <f>"            25318787"</f>
        <v xml:space="preserve">            25318787</v>
      </c>
      <c r="X1847">
        <v>74.88</v>
      </c>
      <c r="Y1847">
        <v>0</v>
      </c>
      <c r="Z1847" s="5">
        <v>72</v>
      </c>
      <c r="AA1847" s="3">
        <v>211</v>
      </c>
      <c r="AB1847" s="5">
        <v>15192</v>
      </c>
      <c r="AC1847">
        <v>72</v>
      </c>
      <c r="AD1847">
        <v>211</v>
      </c>
      <c r="AE1847" s="1">
        <v>15192</v>
      </c>
      <c r="AF1847">
        <v>2.88</v>
      </c>
      <c r="AJ1847">
        <v>0</v>
      </c>
      <c r="AK1847">
        <v>0</v>
      </c>
      <c r="AL1847">
        <v>0</v>
      </c>
      <c r="AM1847">
        <v>0</v>
      </c>
      <c r="AN1847">
        <v>0</v>
      </c>
      <c r="AO1847">
        <v>0</v>
      </c>
      <c r="AP1847" s="2">
        <v>42831</v>
      </c>
      <c r="AQ1847" t="s">
        <v>72</v>
      </c>
      <c r="AR1847" t="s">
        <v>72</v>
      </c>
      <c r="AS1847">
        <v>664</v>
      </c>
      <c r="AT1847" s="4">
        <v>42795</v>
      </c>
      <c r="AU1847" t="s">
        <v>73</v>
      </c>
      <c r="AV1847">
        <v>664</v>
      </c>
      <c r="AW1847" s="4">
        <v>42795</v>
      </c>
      <c r="BD1847">
        <v>2.88</v>
      </c>
      <c r="BN1847" t="s">
        <v>74</v>
      </c>
    </row>
    <row r="1848" spans="1:66">
      <c r="A1848">
        <v>104095</v>
      </c>
      <c r="B1848" t="s">
        <v>380</v>
      </c>
      <c r="C1848" s="1">
        <v>43300101</v>
      </c>
      <c r="D1848" t="s">
        <v>67</v>
      </c>
      <c r="H1848" t="str">
        <f t="shared" ref="H1848:I1854" si="232">"10181220152"</f>
        <v>10181220152</v>
      </c>
      <c r="I1848" t="str">
        <f t="shared" si="232"/>
        <v>10181220152</v>
      </c>
      <c r="K1848" t="str">
        <f>""</f>
        <v/>
      </c>
      <c r="M1848" t="s">
        <v>68</v>
      </c>
      <c r="N1848" t="str">
        <f t="shared" si="231"/>
        <v>FOR</v>
      </c>
      <c r="O1848" t="s">
        <v>69</v>
      </c>
      <c r="P1848" t="s">
        <v>75</v>
      </c>
      <c r="Q1848">
        <v>2016</v>
      </c>
      <c r="R1848" s="4">
        <v>42459</v>
      </c>
      <c r="S1848" s="2">
        <v>42464</v>
      </c>
      <c r="T1848" s="2">
        <v>42460</v>
      </c>
      <c r="U1848" s="4">
        <v>42520</v>
      </c>
      <c r="V1848" t="s">
        <v>71</v>
      </c>
      <c r="W1848" t="str">
        <f>"          9576313536"</f>
        <v xml:space="preserve">          9576313536</v>
      </c>
      <c r="X1848" s="1">
        <v>10980</v>
      </c>
      <c r="Y1848">
        <v>0</v>
      </c>
      <c r="Z1848" s="5">
        <v>9000</v>
      </c>
      <c r="AA1848" s="3">
        <v>254</v>
      </c>
      <c r="AB1848" s="5">
        <v>2286000</v>
      </c>
      <c r="AC1848" s="1">
        <v>9000</v>
      </c>
      <c r="AD1848">
        <v>254</v>
      </c>
      <c r="AE1848" s="1">
        <v>2286000</v>
      </c>
      <c r="AF1848">
        <v>0</v>
      </c>
      <c r="AJ1848">
        <v>0</v>
      </c>
      <c r="AK1848">
        <v>0</v>
      </c>
      <c r="AL1848">
        <v>0</v>
      </c>
      <c r="AM1848">
        <v>0</v>
      </c>
      <c r="AN1848">
        <v>0</v>
      </c>
      <c r="AO1848">
        <v>0</v>
      </c>
      <c r="AP1848" s="2">
        <v>42831</v>
      </c>
      <c r="AQ1848" t="s">
        <v>72</v>
      </c>
      <c r="AR1848" t="s">
        <v>72</v>
      </c>
      <c r="AS1848">
        <v>353</v>
      </c>
      <c r="AT1848" s="4">
        <v>42774</v>
      </c>
      <c r="AU1848" t="s">
        <v>73</v>
      </c>
      <c r="AV1848">
        <v>353</v>
      </c>
      <c r="AW1848" s="4">
        <v>42774</v>
      </c>
      <c r="BD1848">
        <v>0</v>
      </c>
      <c r="BN1848" t="s">
        <v>74</v>
      </c>
    </row>
    <row r="1849" spans="1:66">
      <c r="A1849">
        <v>104095</v>
      </c>
      <c r="B1849" t="s">
        <v>380</v>
      </c>
      <c r="C1849" s="1">
        <v>43300101</v>
      </c>
      <c r="D1849" t="s">
        <v>67</v>
      </c>
      <c r="H1849" t="str">
        <f t="shared" si="232"/>
        <v>10181220152</v>
      </c>
      <c r="I1849" t="str">
        <f t="shared" si="232"/>
        <v>10181220152</v>
      </c>
      <c r="K1849" t="str">
        <f>""</f>
        <v/>
      </c>
      <c r="M1849" t="s">
        <v>68</v>
      </c>
      <c r="N1849" t="str">
        <f t="shared" si="231"/>
        <v>FOR</v>
      </c>
      <c r="O1849" t="s">
        <v>69</v>
      </c>
      <c r="P1849" t="s">
        <v>75</v>
      </c>
      <c r="Q1849">
        <v>2016</v>
      </c>
      <c r="R1849" s="4">
        <v>42460</v>
      </c>
      <c r="S1849" s="2">
        <v>42464</v>
      </c>
      <c r="T1849" s="2">
        <v>42461</v>
      </c>
      <c r="U1849" s="4">
        <v>42521</v>
      </c>
      <c r="V1849" t="s">
        <v>71</v>
      </c>
      <c r="W1849" t="str">
        <f>"          9576313689"</f>
        <v xml:space="preserve">          9576313689</v>
      </c>
      <c r="X1849" s="1">
        <v>2440</v>
      </c>
      <c r="Y1849">
        <v>0</v>
      </c>
      <c r="Z1849" s="5">
        <v>2000</v>
      </c>
      <c r="AA1849" s="3">
        <v>253</v>
      </c>
      <c r="AB1849" s="5">
        <v>506000</v>
      </c>
      <c r="AC1849" s="1">
        <v>2000</v>
      </c>
      <c r="AD1849">
        <v>253</v>
      </c>
      <c r="AE1849" s="1">
        <v>506000</v>
      </c>
      <c r="AF1849">
        <v>0</v>
      </c>
      <c r="AJ1849">
        <v>0</v>
      </c>
      <c r="AK1849">
        <v>0</v>
      </c>
      <c r="AL1849">
        <v>0</v>
      </c>
      <c r="AM1849">
        <v>0</v>
      </c>
      <c r="AN1849">
        <v>0</v>
      </c>
      <c r="AO1849">
        <v>0</v>
      </c>
      <c r="AP1849" s="2">
        <v>42831</v>
      </c>
      <c r="AQ1849" t="s">
        <v>72</v>
      </c>
      <c r="AR1849" t="s">
        <v>72</v>
      </c>
      <c r="AS1849">
        <v>353</v>
      </c>
      <c r="AT1849" s="4">
        <v>42774</v>
      </c>
      <c r="AU1849" t="s">
        <v>73</v>
      </c>
      <c r="AV1849">
        <v>353</v>
      </c>
      <c r="AW1849" s="4">
        <v>42774</v>
      </c>
      <c r="BD1849">
        <v>0</v>
      </c>
      <c r="BN1849" t="s">
        <v>74</v>
      </c>
    </row>
    <row r="1850" spans="1:66">
      <c r="A1850">
        <v>104095</v>
      </c>
      <c r="B1850" t="s">
        <v>380</v>
      </c>
      <c r="C1850" s="1">
        <v>43300101</v>
      </c>
      <c r="D1850" t="s">
        <v>67</v>
      </c>
      <c r="H1850" t="str">
        <f t="shared" si="232"/>
        <v>10181220152</v>
      </c>
      <c r="I1850" t="str">
        <f t="shared" si="232"/>
        <v>10181220152</v>
      </c>
      <c r="K1850" t="str">
        <f>""</f>
        <v/>
      </c>
      <c r="M1850" t="s">
        <v>68</v>
      </c>
      <c r="N1850" t="str">
        <f t="shared" si="231"/>
        <v>FOR</v>
      </c>
      <c r="O1850" t="s">
        <v>69</v>
      </c>
      <c r="P1850" t="s">
        <v>75</v>
      </c>
      <c r="Q1850">
        <v>2016</v>
      </c>
      <c r="R1850" s="4">
        <v>42467</v>
      </c>
      <c r="S1850" s="2">
        <v>42473</v>
      </c>
      <c r="T1850" s="2">
        <v>42468</v>
      </c>
      <c r="U1850" s="4">
        <v>42528</v>
      </c>
      <c r="V1850" t="s">
        <v>71</v>
      </c>
      <c r="W1850" t="str">
        <f>"          9576314492"</f>
        <v xml:space="preserve">          9576314492</v>
      </c>
      <c r="X1850" s="1">
        <v>2196</v>
      </c>
      <c r="Y1850">
        <v>0</v>
      </c>
      <c r="Z1850" s="5">
        <v>1800</v>
      </c>
      <c r="AA1850" s="3">
        <v>254</v>
      </c>
      <c r="AB1850" s="5">
        <v>457200</v>
      </c>
      <c r="AC1850" s="1">
        <v>1800</v>
      </c>
      <c r="AD1850">
        <v>254</v>
      </c>
      <c r="AE1850" s="1">
        <v>457200</v>
      </c>
      <c r="AF1850">
        <v>0</v>
      </c>
      <c r="AJ1850">
        <v>0</v>
      </c>
      <c r="AK1850">
        <v>0</v>
      </c>
      <c r="AL1850">
        <v>0</v>
      </c>
      <c r="AM1850">
        <v>0</v>
      </c>
      <c r="AN1850">
        <v>0</v>
      </c>
      <c r="AO1850">
        <v>0</v>
      </c>
      <c r="AP1850" s="2">
        <v>42831</v>
      </c>
      <c r="AQ1850" t="s">
        <v>72</v>
      </c>
      <c r="AR1850" t="s">
        <v>72</v>
      </c>
      <c r="AS1850">
        <v>475</v>
      </c>
      <c r="AT1850" s="4">
        <v>42782</v>
      </c>
      <c r="AU1850" t="s">
        <v>73</v>
      </c>
      <c r="AV1850">
        <v>475</v>
      </c>
      <c r="AW1850" s="4">
        <v>42782</v>
      </c>
      <c r="BD1850">
        <v>0</v>
      </c>
      <c r="BN1850" t="s">
        <v>74</v>
      </c>
    </row>
    <row r="1851" spans="1:66">
      <c r="A1851">
        <v>104095</v>
      </c>
      <c r="B1851" t="s">
        <v>380</v>
      </c>
      <c r="C1851" s="1">
        <v>43300101</v>
      </c>
      <c r="D1851" t="s">
        <v>67</v>
      </c>
      <c r="H1851" t="str">
        <f t="shared" si="232"/>
        <v>10181220152</v>
      </c>
      <c r="I1851" t="str">
        <f t="shared" si="232"/>
        <v>10181220152</v>
      </c>
      <c r="K1851" t="str">
        <f>""</f>
        <v/>
      </c>
      <c r="M1851" t="s">
        <v>68</v>
      </c>
      <c r="N1851" t="str">
        <f t="shared" si="231"/>
        <v>FOR</v>
      </c>
      <c r="O1851" t="s">
        <v>69</v>
      </c>
      <c r="P1851" t="s">
        <v>75</v>
      </c>
      <c r="Q1851">
        <v>2016</v>
      </c>
      <c r="R1851" s="4">
        <v>42472</v>
      </c>
      <c r="S1851" s="2">
        <v>42474</v>
      </c>
      <c r="T1851" s="2">
        <v>42473</v>
      </c>
      <c r="U1851" s="4">
        <v>42533</v>
      </c>
      <c r="V1851" t="s">
        <v>71</v>
      </c>
      <c r="W1851" t="str">
        <f>"          9576314941"</f>
        <v xml:space="preserve">          9576314941</v>
      </c>
      <c r="X1851">
        <v>183</v>
      </c>
      <c r="Y1851">
        <v>0</v>
      </c>
      <c r="Z1851" s="5">
        <v>150</v>
      </c>
      <c r="AA1851" s="3">
        <v>249</v>
      </c>
      <c r="AB1851" s="5">
        <v>37350</v>
      </c>
      <c r="AC1851">
        <v>150</v>
      </c>
      <c r="AD1851">
        <v>249</v>
      </c>
      <c r="AE1851" s="1">
        <v>37350</v>
      </c>
      <c r="AF1851">
        <v>0</v>
      </c>
      <c r="AJ1851">
        <v>0</v>
      </c>
      <c r="AK1851">
        <v>0</v>
      </c>
      <c r="AL1851">
        <v>0</v>
      </c>
      <c r="AM1851">
        <v>0</v>
      </c>
      <c r="AN1851">
        <v>0</v>
      </c>
      <c r="AO1851">
        <v>0</v>
      </c>
      <c r="AP1851" s="2">
        <v>42831</v>
      </c>
      <c r="AQ1851" t="s">
        <v>72</v>
      </c>
      <c r="AR1851" t="s">
        <v>72</v>
      </c>
      <c r="AS1851">
        <v>475</v>
      </c>
      <c r="AT1851" s="4">
        <v>42782</v>
      </c>
      <c r="AU1851" t="s">
        <v>73</v>
      </c>
      <c r="AV1851">
        <v>475</v>
      </c>
      <c r="AW1851" s="4">
        <v>42782</v>
      </c>
      <c r="BD1851">
        <v>0</v>
      </c>
      <c r="BN1851" t="s">
        <v>74</v>
      </c>
    </row>
    <row r="1852" spans="1:66">
      <c r="A1852">
        <v>104095</v>
      </c>
      <c r="B1852" t="s">
        <v>380</v>
      </c>
      <c r="C1852" s="1">
        <v>43300101</v>
      </c>
      <c r="D1852" t="s">
        <v>67</v>
      </c>
      <c r="H1852" t="str">
        <f t="shared" si="232"/>
        <v>10181220152</v>
      </c>
      <c r="I1852" t="str">
        <f t="shared" si="232"/>
        <v>10181220152</v>
      </c>
      <c r="K1852" t="str">
        <f>""</f>
        <v/>
      </c>
      <c r="M1852" t="s">
        <v>68</v>
      </c>
      <c r="N1852" t="str">
        <f t="shared" si="231"/>
        <v>FOR</v>
      </c>
      <c r="O1852" t="s">
        <v>69</v>
      </c>
      <c r="P1852" t="s">
        <v>75</v>
      </c>
      <c r="Q1852">
        <v>2016</v>
      </c>
      <c r="R1852" s="4">
        <v>42480</v>
      </c>
      <c r="S1852" s="2">
        <v>42482</v>
      </c>
      <c r="T1852" s="2">
        <v>42481</v>
      </c>
      <c r="U1852" s="4">
        <v>42541</v>
      </c>
      <c r="V1852" t="s">
        <v>71</v>
      </c>
      <c r="W1852" t="str">
        <f>"          9576316193"</f>
        <v xml:space="preserve">          9576316193</v>
      </c>
      <c r="X1852">
        <v>61</v>
      </c>
      <c r="Y1852">
        <v>0</v>
      </c>
      <c r="Z1852" s="5">
        <v>50</v>
      </c>
      <c r="AA1852" s="3">
        <v>241</v>
      </c>
      <c r="AB1852" s="5">
        <v>12050</v>
      </c>
      <c r="AC1852">
        <v>50</v>
      </c>
      <c r="AD1852">
        <v>241</v>
      </c>
      <c r="AE1852" s="1">
        <v>12050</v>
      </c>
      <c r="AF1852">
        <v>0</v>
      </c>
      <c r="AJ1852">
        <v>0</v>
      </c>
      <c r="AK1852">
        <v>0</v>
      </c>
      <c r="AL1852">
        <v>0</v>
      </c>
      <c r="AM1852">
        <v>0</v>
      </c>
      <c r="AN1852">
        <v>0</v>
      </c>
      <c r="AO1852">
        <v>0</v>
      </c>
      <c r="AP1852" s="2">
        <v>42831</v>
      </c>
      <c r="AQ1852" t="s">
        <v>72</v>
      </c>
      <c r="AR1852" t="s">
        <v>72</v>
      </c>
      <c r="AS1852">
        <v>475</v>
      </c>
      <c r="AT1852" s="4">
        <v>42782</v>
      </c>
      <c r="AU1852" t="s">
        <v>73</v>
      </c>
      <c r="AV1852">
        <v>475</v>
      </c>
      <c r="AW1852" s="4">
        <v>42782</v>
      </c>
      <c r="BD1852">
        <v>0</v>
      </c>
      <c r="BN1852" t="s">
        <v>74</v>
      </c>
    </row>
    <row r="1853" spans="1:66">
      <c r="A1853">
        <v>104095</v>
      </c>
      <c r="B1853" t="s">
        <v>380</v>
      </c>
      <c r="C1853" s="1">
        <v>43300101</v>
      </c>
      <c r="D1853" t="s">
        <v>67</v>
      </c>
      <c r="H1853" t="str">
        <f t="shared" si="232"/>
        <v>10181220152</v>
      </c>
      <c r="I1853" t="str">
        <f t="shared" si="232"/>
        <v>10181220152</v>
      </c>
      <c r="K1853" t="str">
        <f>""</f>
        <v/>
      </c>
      <c r="M1853" t="s">
        <v>68</v>
      </c>
      <c r="N1853" t="str">
        <f t="shared" si="231"/>
        <v>FOR</v>
      </c>
      <c r="O1853" t="s">
        <v>69</v>
      </c>
      <c r="P1853" t="s">
        <v>75</v>
      </c>
      <c r="Q1853">
        <v>2016</v>
      </c>
      <c r="R1853" s="4">
        <v>42486</v>
      </c>
      <c r="S1853" s="2">
        <v>42488</v>
      </c>
      <c r="T1853" s="2">
        <v>42487</v>
      </c>
      <c r="U1853" s="4">
        <v>42547</v>
      </c>
      <c r="V1853" t="s">
        <v>71</v>
      </c>
      <c r="W1853" t="str">
        <f>"          9576316783"</f>
        <v xml:space="preserve">          9576316783</v>
      </c>
      <c r="X1853" s="1">
        <v>33018.26</v>
      </c>
      <c r="Y1853">
        <v>0</v>
      </c>
      <c r="Z1853" s="5">
        <v>27064.15</v>
      </c>
      <c r="AA1853" s="3">
        <v>235</v>
      </c>
      <c r="AB1853" s="5">
        <v>6360075.25</v>
      </c>
      <c r="AC1853" s="1">
        <v>27064.15</v>
      </c>
      <c r="AD1853">
        <v>235</v>
      </c>
      <c r="AE1853" s="1">
        <v>6360075.25</v>
      </c>
      <c r="AF1853">
        <v>0</v>
      </c>
      <c r="AJ1853">
        <v>0</v>
      </c>
      <c r="AK1853">
        <v>0</v>
      </c>
      <c r="AL1853">
        <v>0</v>
      </c>
      <c r="AM1853">
        <v>0</v>
      </c>
      <c r="AN1853">
        <v>0</v>
      </c>
      <c r="AO1853">
        <v>0</v>
      </c>
      <c r="AP1853" s="2">
        <v>42831</v>
      </c>
      <c r="AQ1853" t="s">
        <v>72</v>
      </c>
      <c r="AR1853" t="s">
        <v>72</v>
      </c>
      <c r="AS1853">
        <v>475</v>
      </c>
      <c r="AT1853" s="4">
        <v>42782</v>
      </c>
      <c r="AU1853" t="s">
        <v>73</v>
      </c>
      <c r="AV1853">
        <v>475</v>
      </c>
      <c r="AW1853" s="4">
        <v>42782</v>
      </c>
      <c r="BD1853">
        <v>0</v>
      </c>
      <c r="BN1853" t="s">
        <v>74</v>
      </c>
    </row>
    <row r="1854" spans="1:66">
      <c r="A1854">
        <v>104095</v>
      </c>
      <c r="B1854" t="s">
        <v>380</v>
      </c>
      <c r="C1854" s="1">
        <v>43300101</v>
      </c>
      <c r="D1854" t="s">
        <v>67</v>
      </c>
      <c r="H1854" t="str">
        <f t="shared" si="232"/>
        <v>10181220152</v>
      </c>
      <c r="I1854" t="str">
        <f t="shared" si="232"/>
        <v>10181220152</v>
      </c>
      <c r="K1854" t="str">
        <f>""</f>
        <v/>
      </c>
      <c r="M1854" t="s">
        <v>68</v>
      </c>
      <c r="N1854" t="str">
        <f t="shared" si="231"/>
        <v>FOR</v>
      </c>
      <c r="O1854" t="s">
        <v>69</v>
      </c>
      <c r="P1854" t="s">
        <v>75</v>
      </c>
      <c r="Q1854">
        <v>2016</v>
      </c>
      <c r="R1854" s="4">
        <v>42486</v>
      </c>
      <c r="S1854" s="2">
        <v>42488</v>
      </c>
      <c r="T1854" s="2">
        <v>42487</v>
      </c>
      <c r="U1854" s="4">
        <v>42547</v>
      </c>
      <c r="V1854" t="s">
        <v>71</v>
      </c>
      <c r="W1854" t="str">
        <f>"          9576316784"</f>
        <v xml:space="preserve">          9576316784</v>
      </c>
      <c r="X1854">
        <v>213.5</v>
      </c>
      <c r="Y1854">
        <v>0</v>
      </c>
      <c r="Z1854" s="5">
        <v>175</v>
      </c>
      <c r="AA1854" s="3">
        <v>235</v>
      </c>
      <c r="AB1854" s="5">
        <v>41125</v>
      </c>
      <c r="AC1854">
        <v>175</v>
      </c>
      <c r="AD1854">
        <v>235</v>
      </c>
      <c r="AE1854" s="1">
        <v>41125</v>
      </c>
      <c r="AF1854">
        <v>0</v>
      </c>
      <c r="AJ1854">
        <v>0</v>
      </c>
      <c r="AK1854">
        <v>0</v>
      </c>
      <c r="AL1854">
        <v>0</v>
      </c>
      <c r="AM1854">
        <v>0</v>
      </c>
      <c r="AN1854">
        <v>0</v>
      </c>
      <c r="AO1854">
        <v>0</v>
      </c>
      <c r="AP1854" s="2">
        <v>42831</v>
      </c>
      <c r="AQ1854" t="s">
        <v>72</v>
      </c>
      <c r="AR1854" t="s">
        <v>72</v>
      </c>
      <c r="AS1854">
        <v>475</v>
      </c>
      <c r="AT1854" s="4">
        <v>42782</v>
      </c>
      <c r="AU1854" t="s">
        <v>73</v>
      </c>
      <c r="AV1854">
        <v>475</v>
      </c>
      <c r="AW1854" s="4">
        <v>42782</v>
      </c>
      <c r="BD1854">
        <v>0</v>
      </c>
      <c r="BN1854" t="s">
        <v>74</v>
      </c>
    </row>
    <row r="1855" spans="1:66">
      <c r="A1855">
        <v>104110</v>
      </c>
      <c r="B1855" t="s">
        <v>381</v>
      </c>
      <c r="C1855" s="1">
        <v>43300101</v>
      </c>
      <c r="D1855" t="s">
        <v>67</v>
      </c>
      <c r="H1855" t="str">
        <f>"12785290151"</f>
        <v>12785290151</v>
      </c>
      <c r="I1855" t="str">
        <f>"12785290151"</f>
        <v>12785290151</v>
      </c>
      <c r="K1855" t="str">
        <f>""</f>
        <v/>
      </c>
      <c r="M1855" t="s">
        <v>68</v>
      </c>
      <c r="N1855" t="str">
        <f t="shared" si="231"/>
        <v>FOR</v>
      </c>
      <c r="O1855" t="s">
        <v>69</v>
      </c>
      <c r="P1855" t="s">
        <v>75</v>
      </c>
      <c r="Q1855">
        <v>2016</v>
      </c>
      <c r="R1855" s="4">
        <v>42468</v>
      </c>
      <c r="S1855" s="2">
        <v>42473</v>
      </c>
      <c r="T1855" s="2">
        <v>42471</v>
      </c>
      <c r="U1855" s="4">
        <v>42531</v>
      </c>
      <c r="V1855" t="s">
        <v>71</v>
      </c>
      <c r="W1855" t="str">
        <f>" 199122571/000569/PA"</f>
        <v xml:space="preserve"> 199122571/000569/PA</v>
      </c>
      <c r="X1855" s="1">
        <v>10757.96</v>
      </c>
      <c r="Y1855">
        <v>0</v>
      </c>
      <c r="Z1855" s="5">
        <v>8818</v>
      </c>
      <c r="AA1855" s="3">
        <v>250</v>
      </c>
      <c r="AB1855" s="5">
        <v>2204500</v>
      </c>
      <c r="AC1855" s="1">
        <v>8818</v>
      </c>
      <c r="AD1855">
        <v>250</v>
      </c>
      <c r="AE1855" s="1">
        <v>2204500</v>
      </c>
      <c r="AF1855">
        <v>0</v>
      </c>
      <c r="AJ1855">
        <v>0</v>
      </c>
      <c r="AK1855">
        <v>0</v>
      </c>
      <c r="AL1855">
        <v>0</v>
      </c>
      <c r="AM1855">
        <v>0</v>
      </c>
      <c r="AN1855">
        <v>0</v>
      </c>
      <c r="AO1855">
        <v>0</v>
      </c>
      <c r="AP1855" s="2">
        <v>42831</v>
      </c>
      <c r="AQ1855" t="s">
        <v>72</v>
      </c>
      <c r="AR1855" t="s">
        <v>72</v>
      </c>
      <c r="AS1855">
        <v>458</v>
      </c>
      <c r="AT1855" s="4">
        <v>42781</v>
      </c>
      <c r="AU1855" t="s">
        <v>73</v>
      </c>
      <c r="AV1855">
        <v>458</v>
      </c>
      <c r="AW1855" s="4">
        <v>42781</v>
      </c>
      <c r="BD1855">
        <v>0</v>
      </c>
      <c r="BN1855" t="s">
        <v>74</v>
      </c>
    </row>
    <row r="1856" spans="1:66">
      <c r="A1856">
        <v>104110</v>
      </c>
      <c r="B1856" t="s">
        <v>381</v>
      </c>
      <c r="C1856" s="1">
        <v>43300101</v>
      </c>
      <c r="D1856" t="s">
        <v>67</v>
      </c>
      <c r="H1856" t="str">
        <f>"12785290151"</f>
        <v>12785290151</v>
      </c>
      <c r="I1856" t="str">
        <f>"12785290151"</f>
        <v>12785290151</v>
      </c>
      <c r="K1856" t="str">
        <f>""</f>
        <v/>
      </c>
      <c r="M1856" t="s">
        <v>68</v>
      </c>
      <c r="N1856" t="str">
        <f t="shared" si="231"/>
        <v>FOR</v>
      </c>
      <c r="O1856" t="s">
        <v>69</v>
      </c>
      <c r="P1856" t="s">
        <v>75</v>
      </c>
      <c r="Q1856">
        <v>2016</v>
      </c>
      <c r="R1856" s="4">
        <v>42471</v>
      </c>
      <c r="S1856" s="2">
        <v>42472</v>
      </c>
      <c r="T1856" s="2">
        <v>42472</v>
      </c>
      <c r="U1856" s="4">
        <v>42532</v>
      </c>
      <c r="V1856" t="s">
        <v>71</v>
      </c>
      <c r="W1856" t="str">
        <f>" 199122629/000574/PA"</f>
        <v xml:space="preserve"> 199122629/000574/PA</v>
      </c>
      <c r="X1856">
        <v>668.56</v>
      </c>
      <c r="Y1856">
        <v>0</v>
      </c>
      <c r="Z1856" s="5">
        <v>548</v>
      </c>
      <c r="AA1856" s="3">
        <v>249</v>
      </c>
      <c r="AB1856" s="5">
        <v>136452</v>
      </c>
      <c r="AC1856">
        <v>548</v>
      </c>
      <c r="AD1856">
        <v>249</v>
      </c>
      <c r="AE1856" s="1">
        <v>136452</v>
      </c>
      <c r="AF1856">
        <v>0</v>
      </c>
      <c r="AJ1856">
        <v>0</v>
      </c>
      <c r="AK1856">
        <v>0</v>
      </c>
      <c r="AL1856">
        <v>0</v>
      </c>
      <c r="AM1856">
        <v>0</v>
      </c>
      <c r="AN1856">
        <v>0</v>
      </c>
      <c r="AO1856">
        <v>0</v>
      </c>
      <c r="AP1856" s="2">
        <v>42831</v>
      </c>
      <c r="AQ1856" t="s">
        <v>72</v>
      </c>
      <c r="AR1856" t="s">
        <v>72</v>
      </c>
      <c r="AS1856">
        <v>458</v>
      </c>
      <c r="AT1856" s="4">
        <v>42781</v>
      </c>
      <c r="AU1856" t="s">
        <v>73</v>
      </c>
      <c r="AV1856">
        <v>458</v>
      </c>
      <c r="AW1856" s="4">
        <v>42781</v>
      </c>
      <c r="BD1856">
        <v>0</v>
      </c>
      <c r="BN1856" t="s">
        <v>74</v>
      </c>
    </row>
    <row r="1857" spans="1:66">
      <c r="A1857">
        <v>104123</v>
      </c>
      <c r="B1857" t="s">
        <v>382</v>
      </c>
      <c r="C1857" s="1">
        <v>43300101</v>
      </c>
      <c r="D1857" t="s">
        <v>67</v>
      </c>
      <c r="H1857" t="str">
        <f>"PNTFNC50R15A783U"</f>
        <v>PNTFNC50R15A783U</v>
      </c>
      <c r="I1857" t="str">
        <f>"00685410623"</f>
        <v>00685410623</v>
      </c>
      <c r="K1857" t="str">
        <f>""</f>
        <v/>
      </c>
      <c r="M1857" t="s">
        <v>68</v>
      </c>
      <c r="N1857" t="str">
        <f t="shared" si="231"/>
        <v>FOR</v>
      </c>
      <c r="O1857" t="s">
        <v>69</v>
      </c>
      <c r="P1857" t="s">
        <v>75</v>
      </c>
      <c r="Q1857">
        <v>2016</v>
      </c>
      <c r="R1857" s="4">
        <v>42707</v>
      </c>
      <c r="S1857" s="2">
        <v>42710</v>
      </c>
      <c r="T1857" s="2">
        <v>42710</v>
      </c>
      <c r="U1857" s="4">
        <v>42770</v>
      </c>
      <c r="V1857" t="s">
        <v>71</v>
      </c>
      <c r="W1857" t="str">
        <f>"            179/2016"</f>
        <v xml:space="preserve">            179/2016</v>
      </c>
      <c r="X1857" s="1">
        <v>1805.6</v>
      </c>
      <c r="Y1857">
        <v>0</v>
      </c>
      <c r="Z1857" s="5">
        <v>1480</v>
      </c>
      <c r="AA1857" s="3">
        <v>-2</v>
      </c>
      <c r="AB1857" s="5">
        <v>-2960</v>
      </c>
      <c r="AC1857" s="1">
        <v>1480</v>
      </c>
      <c r="AD1857">
        <v>-2</v>
      </c>
      <c r="AE1857" s="1">
        <v>-2960</v>
      </c>
      <c r="AF1857">
        <v>0</v>
      </c>
      <c r="AJ1857">
        <v>0</v>
      </c>
      <c r="AK1857">
        <v>0</v>
      </c>
      <c r="AL1857">
        <v>0</v>
      </c>
      <c r="AM1857">
        <v>0</v>
      </c>
      <c r="AN1857">
        <v>0</v>
      </c>
      <c r="AO1857">
        <v>0</v>
      </c>
      <c r="AP1857" s="2">
        <v>42831</v>
      </c>
      <c r="AQ1857" t="s">
        <v>72</v>
      </c>
      <c r="AR1857" t="s">
        <v>72</v>
      </c>
      <c r="AS1857">
        <v>261</v>
      </c>
      <c r="AT1857" s="4">
        <v>42768</v>
      </c>
      <c r="AV1857">
        <v>261</v>
      </c>
      <c r="AW1857" s="4">
        <v>42768</v>
      </c>
      <c r="BD1857">
        <v>0</v>
      </c>
      <c r="BN1857" t="s">
        <v>74</v>
      </c>
    </row>
    <row r="1858" spans="1:66">
      <c r="A1858">
        <v>104124</v>
      </c>
      <c r="B1858" t="s">
        <v>383</v>
      </c>
      <c r="C1858" s="1">
        <v>43300101</v>
      </c>
      <c r="D1858" t="s">
        <v>67</v>
      </c>
      <c r="H1858" t="str">
        <f>"CPTMSM61E01L245Y"</f>
        <v>CPTMSM61E01L245Y</v>
      </c>
      <c r="I1858" t="str">
        <f>"03104731215"</f>
        <v>03104731215</v>
      </c>
      <c r="K1858" t="str">
        <f>""</f>
        <v/>
      </c>
      <c r="M1858" t="s">
        <v>68</v>
      </c>
      <c r="N1858" t="str">
        <f t="shared" si="231"/>
        <v>FOR</v>
      </c>
      <c r="O1858" t="s">
        <v>69</v>
      </c>
      <c r="P1858" t="s">
        <v>75</v>
      </c>
      <c r="Q1858">
        <v>2016</v>
      </c>
      <c r="R1858" s="4">
        <v>42527</v>
      </c>
      <c r="S1858" s="2">
        <v>42527</v>
      </c>
      <c r="T1858" s="2">
        <v>42527</v>
      </c>
      <c r="U1858" s="4">
        <v>42587</v>
      </c>
      <c r="V1858" t="s">
        <v>71</v>
      </c>
      <c r="W1858" t="str">
        <f>"          25 PA 2016"</f>
        <v xml:space="preserve">          25 PA 2016</v>
      </c>
      <c r="X1858" s="1">
        <v>4675.28</v>
      </c>
      <c r="Y1858">
        <v>0</v>
      </c>
      <c r="Z1858" s="5">
        <v>3832.2</v>
      </c>
      <c r="AA1858" s="3">
        <v>181</v>
      </c>
      <c r="AB1858" s="5">
        <v>693628.2</v>
      </c>
      <c r="AC1858" s="1">
        <v>3832.2</v>
      </c>
      <c r="AD1858">
        <v>181</v>
      </c>
      <c r="AE1858" s="1">
        <v>693628.2</v>
      </c>
      <c r="AF1858">
        <v>0</v>
      </c>
      <c r="AJ1858">
        <v>0</v>
      </c>
      <c r="AK1858">
        <v>0</v>
      </c>
      <c r="AL1858">
        <v>0</v>
      </c>
      <c r="AM1858">
        <v>0</v>
      </c>
      <c r="AN1858">
        <v>0</v>
      </c>
      <c r="AO1858">
        <v>0</v>
      </c>
      <c r="AP1858" s="2">
        <v>42831</v>
      </c>
      <c r="AQ1858" t="s">
        <v>72</v>
      </c>
      <c r="AR1858" t="s">
        <v>72</v>
      </c>
      <c r="AS1858">
        <v>271</v>
      </c>
      <c r="AT1858" s="4">
        <v>42768</v>
      </c>
      <c r="AU1858" t="s">
        <v>73</v>
      </c>
      <c r="AV1858">
        <v>271</v>
      </c>
      <c r="AW1858" s="4">
        <v>42768</v>
      </c>
      <c r="BD1858">
        <v>0</v>
      </c>
      <c r="BN1858" t="s">
        <v>74</v>
      </c>
    </row>
    <row r="1859" spans="1:66">
      <c r="A1859">
        <v>104124</v>
      </c>
      <c r="B1859" t="s">
        <v>383</v>
      </c>
      <c r="C1859" s="1">
        <v>43300101</v>
      </c>
      <c r="D1859" t="s">
        <v>67</v>
      </c>
      <c r="H1859" t="str">
        <f>"CPTMSM61E01L245Y"</f>
        <v>CPTMSM61E01L245Y</v>
      </c>
      <c r="I1859" t="str">
        <f>"03104731215"</f>
        <v>03104731215</v>
      </c>
      <c r="K1859" t="str">
        <f>""</f>
        <v/>
      </c>
      <c r="M1859" t="s">
        <v>68</v>
      </c>
      <c r="N1859" t="str">
        <f t="shared" si="231"/>
        <v>FOR</v>
      </c>
      <c r="O1859" t="s">
        <v>69</v>
      </c>
      <c r="P1859" t="s">
        <v>75</v>
      </c>
      <c r="Q1859">
        <v>2016</v>
      </c>
      <c r="R1859" s="4">
        <v>42555</v>
      </c>
      <c r="S1859" s="2">
        <v>42577</v>
      </c>
      <c r="T1859" s="2">
        <v>42568</v>
      </c>
      <c r="U1859" s="4">
        <v>42628</v>
      </c>
      <c r="V1859" t="s">
        <v>71</v>
      </c>
      <c r="W1859" t="str">
        <f>"          27 PA 2016"</f>
        <v xml:space="preserve">          27 PA 2016</v>
      </c>
      <c r="X1859" s="1">
        <v>4858.04</v>
      </c>
      <c r="Y1859">
        <v>0</v>
      </c>
      <c r="Z1859" s="5">
        <v>3982</v>
      </c>
      <c r="AA1859" s="3">
        <v>165</v>
      </c>
      <c r="AB1859" s="5">
        <v>657030</v>
      </c>
      <c r="AC1859" s="1">
        <v>3982</v>
      </c>
      <c r="AD1859">
        <v>165</v>
      </c>
      <c r="AE1859" s="1">
        <v>657030</v>
      </c>
      <c r="AF1859">
        <v>0</v>
      </c>
      <c r="AJ1859">
        <v>0</v>
      </c>
      <c r="AK1859">
        <v>0</v>
      </c>
      <c r="AL1859">
        <v>0</v>
      </c>
      <c r="AM1859">
        <v>0</v>
      </c>
      <c r="AN1859">
        <v>0</v>
      </c>
      <c r="AO1859">
        <v>0</v>
      </c>
      <c r="AP1859" s="2">
        <v>42831</v>
      </c>
      <c r="AQ1859" t="s">
        <v>72</v>
      </c>
      <c r="AR1859" t="s">
        <v>72</v>
      </c>
      <c r="AS1859">
        <v>617</v>
      </c>
      <c r="AT1859" s="4">
        <v>42793</v>
      </c>
      <c r="AU1859" t="s">
        <v>73</v>
      </c>
      <c r="AV1859">
        <v>617</v>
      </c>
      <c r="AW1859" s="4">
        <v>42793</v>
      </c>
      <c r="BD1859">
        <v>0</v>
      </c>
      <c r="BN1859" t="s">
        <v>74</v>
      </c>
    </row>
    <row r="1860" spans="1:66">
      <c r="A1860">
        <v>104124</v>
      </c>
      <c r="B1860" t="s">
        <v>383</v>
      </c>
      <c r="C1860" s="1">
        <v>43300101</v>
      </c>
      <c r="D1860" t="s">
        <v>67</v>
      </c>
      <c r="H1860" t="str">
        <f>"CPTMSM61E01L245Y"</f>
        <v>CPTMSM61E01L245Y</v>
      </c>
      <c r="I1860" t="str">
        <f>"03104731215"</f>
        <v>03104731215</v>
      </c>
      <c r="K1860" t="str">
        <f>""</f>
        <v/>
      </c>
      <c r="M1860" t="s">
        <v>68</v>
      </c>
      <c r="N1860" t="str">
        <f t="shared" si="231"/>
        <v>FOR</v>
      </c>
      <c r="O1860" t="s">
        <v>69</v>
      </c>
      <c r="P1860" t="s">
        <v>75</v>
      </c>
      <c r="Q1860">
        <v>2016</v>
      </c>
      <c r="R1860" s="4">
        <v>42662</v>
      </c>
      <c r="S1860" s="2">
        <v>42663</v>
      </c>
      <c r="T1860" s="2">
        <v>42662</v>
      </c>
      <c r="U1860" s="4">
        <v>42722</v>
      </c>
      <c r="V1860" t="s">
        <v>71</v>
      </c>
      <c r="W1860" t="str">
        <f>"          45 PA 2016"</f>
        <v xml:space="preserve">          45 PA 2016</v>
      </c>
      <c r="X1860">
        <v>530.70000000000005</v>
      </c>
      <c r="Y1860">
        <v>0</v>
      </c>
      <c r="Z1860" s="5">
        <v>435</v>
      </c>
      <c r="AA1860" s="3">
        <v>50</v>
      </c>
      <c r="AB1860" s="5">
        <v>21750</v>
      </c>
      <c r="AC1860">
        <v>435</v>
      </c>
      <c r="AD1860">
        <v>50</v>
      </c>
      <c r="AE1860" s="1">
        <v>21750</v>
      </c>
      <c r="AF1860">
        <v>95.7</v>
      </c>
      <c r="AJ1860">
        <v>0</v>
      </c>
      <c r="AK1860">
        <v>0</v>
      </c>
      <c r="AL1860">
        <v>0</v>
      </c>
      <c r="AM1860">
        <v>0</v>
      </c>
      <c r="AN1860">
        <v>0</v>
      </c>
      <c r="AO1860">
        <v>0</v>
      </c>
      <c r="AP1860" s="2">
        <v>42831</v>
      </c>
      <c r="AQ1860" t="s">
        <v>72</v>
      </c>
      <c r="AR1860" t="s">
        <v>72</v>
      </c>
      <c r="AS1860">
        <v>292</v>
      </c>
      <c r="AT1860" s="4">
        <v>42772</v>
      </c>
      <c r="AU1860" t="s">
        <v>73</v>
      </c>
      <c r="AV1860">
        <v>292</v>
      </c>
      <c r="AW1860" s="4">
        <v>42772</v>
      </c>
      <c r="BA1860">
        <v>95.7</v>
      </c>
      <c r="BD1860">
        <v>0</v>
      </c>
      <c r="BN1860" t="s">
        <v>74</v>
      </c>
    </row>
    <row r="1861" spans="1:66">
      <c r="A1861">
        <v>104139</v>
      </c>
      <c r="B1861" t="s">
        <v>384</v>
      </c>
      <c r="C1861" s="1">
        <v>43300101</v>
      </c>
      <c r="D1861" t="s">
        <v>67</v>
      </c>
      <c r="H1861" t="str">
        <f>"06188330150"</f>
        <v>06188330150</v>
      </c>
      <c r="I1861" t="str">
        <f>"02066400405"</f>
        <v>02066400405</v>
      </c>
      <c r="K1861" t="str">
        <f>""</f>
        <v/>
      </c>
      <c r="M1861" t="s">
        <v>68</v>
      </c>
      <c r="N1861" t="str">
        <f t="shared" si="231"/>
        <v>FOR</v>
      </c>
      <c r="O1861" t="s">
        <v>69</v>
      </c>
      <c r="P1861" t="s">
        <v>75</v>
      </c>
      <c r="Q1861">
        <v>2016</v>
      </c>
      <c r="R1861" s="4">
        <v>42674</v>
      </c>
      <c r="S1861" s="2">
        <v>42685</v>
      </c>
      <c r="T1861" s="2">
        <v>42684</v>
      </c>
      <c r="U1861" s="4">
        <v>42744</v>
      </c>
      <c r="V1861" t="s">
        <v>71</v>
      </c>
      <c r="W1861" t="str">
        <f>"          0005966869"</f>
        <v xml:space="preserve">          0005966869</v>
      </c>
      <c r="X1861">
        <v>119.16</v>
      </c>
      <c r="Y1861">
        <v>0</v>
      </c>
      <c r="Z1861" s="5">
        <v>119.16</v>
      </c>
      <c r="AA1861" s="3">
        <v>28</v>
      </c>
      <c r="AB1861" s="5">
        <v>3336.48</v>
      </c>
      <c r="AC1861">
        <v>119.16</v>
      </c>
      <c r="AD1861">
        <v>28</v>
      </c>
      <c r="AE1861" s="1">
        <v>3336.48</v>
      </c>
      <c r="AF1861">
        <v>0</v>
      </c>
      <c r="AJ1861">
        <v>0</v>
      </c>
      <c r="AK1861">
        <v>0</v>
      </c>
      <c r="AL1861">
        <v>0</v>
      </c>
      <c r="AM1861">
        <v>0</v>
      </c>
      <c r="AN1861">
        <v>0</v>
      </c>
      <c r="AO1861">
        <v>0</v>
      </c>
      <c r="AP1861" s="2">
        <v>42831</v>
      </c>
      <c r="AQ1861" t="s">
        <v>72</v>
      </c>
      <c r="AR1861" t="s">
        <v>72</v>
      </c>
      <c r="AS1861">
        <v>292</v>
      </c>
      <c r="AT1861" s="4">
        <v>42772</v>
      </c>
      <c r="AU1861" t="s">
        <v>73</v>
      </c>
      <c r="AV1861">
        <v>292</v>
      </c>
      <c r="AW1861" s="4">
        <v>42772</v>
      </c>
      <c r="BD1861">
        <v>0</v>
      </c>
      <c r="BN1861" t="s">
        <v>74</v>
      </c>
    </row>
    <row r="1862" spans="1:66">
      <c r="A1862">
        <v>104146</v>
      </c>
      <c r="B1862" t="s">
        <v>385</v>
      </c>
      <c r="C1862" s="1">
        <v>43300101</v>
      </c>
      <c r="D1862" t="s">
        <v>67</v>
      </c>
      <c r="H1862" t="str">
        <f>"11654150157"</f>
        <v>11654150157</v>
      </c>
      <c r="I1862" t="str">
        <f>"11654150157"</f>
        <v>11654150157</v>
      </c>
      <c r="K1862" t="str">
        <f>""</f>
        <v/>
      </c>
      <c r="M1862" t="s">
        <v>68</v>
      </c>
      <c r="N1862" t="str">
        <f t="shared" si="231"/>
        <v>FOR</v>
      </c>
      <c r="O1862" t="s">
        <v>69</v>
      </c>
      <c r="P1862" t="s">
        <v>75</v>
      </c>
      <c r="Q1862">
        <v>2016</v>
      </c>
      <c r="R1862" s="4">
        <v>42447</v>
      </c>
      <c r="S1862" s="2">
        <v>42501</v>
      </c>
      <c r="T1862" s="2">
        <v>42496</v>
      </c>
      <c r="U1862" s="4">
        <v>42556</v>
      </c>
      <c r="V1862" t="s">
        <v>71</v>
      </c>
      <c r="W1862" t="str">
        <f>"           716010250"</f>
        <v xml:space="preserve">           716010250</v>
      </c>
      <c r="X1862" s="1">
        <v>1320</v>
      </c>
      <c r="Y1862">
        <v>0</v>
      </c>
      <c r="Z1862" s="5">
        <v>1200</v>
      </c>
      <c r="AA1862" s="3">
        <v>212</v>
      </c>
      <c r="AB1862" s="5">
        <v>254400</v>
      </c>
      <c r="AC1862" s="1">
        <v>1200</v>
      </c>
      <c r="AD1862">
        <v>212</v>
      </c>
      <c r="AE1862" s="1">
        <v>254400</v>
      </c>
      <c r="AF1862">
        <v>0</v>
      </c>
      <c r="AJ1862">
        <v>0</v>
      </c>
      <c r="AK1862">
        <v>0</v>
      </c>
      <c r="AL1862">
        <v>0</v>
      </c>
      <c r="AM1862">
        <v>0</v>
      </c>
      <c r="AN1862">
        <v>0</v>
      </c>
      <c r="AO1862">
        <v>0</v>
      </c>
      <c r="AP1862" s="2">
        <v>42831</v>
      </c>
      <c r="AQ1862" t="s">
        <v>72</v>
      </c>
      <c r="AR1862" t="s">
        <v>72</v>
      </c>
      <c r="AS1862">
        <v>203</v>
      </c>
      <c r="AT1862" s="4">
        <v>42768</v>
      </c>
      <c r="AU1862" t="s">
        <v>73</v>
      </c>
      <c r="AV1862">
        <v>203</v>
      </c>
      <c r="AW1862" s="4">
        <v>42768</v>
      </c>
      <c r="BD1862">
        <v>0</v>
      </c>
      <c r="BN1862" t="s">
        <v>74</v>
      </c>
    </row>
    <row r="1863" spans="1:66" hidden="1">
      <c r="A1863">
        <v>104175</v>
      </c>
      <c r="B1863" t="s">
        <v>386</v>
      </c>
      <c r="C1863" s="1">
        <v>43500101</v>
      </c>
      <c r="D1863" t="s">
        <v>98</v>
      </c>
      <c r="H1863" t="str">
        <f t="shared" ref="H1863:I1865" si="233">"00962970620"</f>
        <v>00962970620</v>
      </c>
      <c r="I1863" t="str">
        <f t="shared" si="233"/>
        <v>00962970620</v>
      </c>
      <c r="K1863" t="str">
        <f>""</f>
        <v/>
      </c>
      <c r="M1863" t="s">
        <v>68</v>
      </c>
      <c r="N1863" t="str">
        <f t="shared" ref="N1863:N1868" si="234">"ALTFIN"</f>
        <v>ALTFIN</v>
      </c>
      <c r="O1863" t="s">
        <v>102</v>
      </c>
      <c r="P1863" t="s">
        <v>82</v>
      </c>
      <c r="Q1863">
        <v>2017</v>
      </c>
      <c r="R1863" s="4">
        <v>42755</v>
      </c>
      <c r="S1863" s="2">
        <v>42755</v>
      </c>
      <c r="T1863" s="2">
        <v>42755</v>
      </c>
      <c r="U1863" s="4">
        <v>42815</v>
      </c>
      <c r="V1863" t="s">
        <v>71</v>
      </c>
      <c r="W1863" t="str">
        <f>"                0120"</f>
        <v xml:space="preserve">                0120</v>
      </c>
      <c r="X1863">
        <v>0</v>
      </c>
      <c r="Y1863">
        <v>330.33</v>
      </c>
      <c r="Z1863" s="3">
        <v>330.33</v>
      </c>
      <c r="AA1863" s="3">
        <v>-57</v>
      </c>
      <c r="AB1863" s="5">
        <v>-18828.810000000001</v>
      </c>
      <c r="AC1863">
        <v>330.33</v>
      </c>
      <c r="AD1863">
        <v>-57</v>
      </c>
      <c r="AE1863" s="1">
        <v>-18828.810000000001</v>
      </c>
      <c r="AF1863">
        <v>0</v>
      </c>
      <c r="AJ1863">
        <v>330.33</v>
      </c>
      <c r="AK1863">
        <v>330.33</v>
      </c>
      <c r="AL1863">
        <v>330.33</v>
      </c>
      <c r="AM1863">
        <v>330.33</v>
      </c>
      <c r="AN1863">
        <v>330.33</v>
      </c>
      <c r="AO1863">
        <v>330.33</v>
      </c>
      <c r="AP1863" s="2">
        <v>42831</v>
      </c>
      <c r="AQ1863" t="s">
        <v>72</v>
      </c>
      <c r="AR1863" t="s">
        <v>72</v>
      </c>
      <c r="AS1863">
        <v>64</v>
      </c>
      <c r="AT1863" s="4">
        <v>42758</v>
      </c>
      <c r="AV1863">
        <v>64</v>
      </c>
      <c r="AW1863" s="4">
        <v>42758</v>
      </c>
      <c r="BD1863">
        <v>0</v>
      </c>
      <c r="BN1863" t="s">
        <v>74</v>
      </c>
    </row>
    <row r="1864" spans="1:66" hidden="1">
      <c r="A1864">
        <v>104175</v>
      </c>
      <c r="B1864" t="s">
        <v>386</v>
      </c>
      <c r="C1864" s="1">
        <v>43500101</v>
      </c>
      <c r="D1864" t="s">
        <v>98</v>
      </c>
      <c r="H1864" t="str">
        <f t="shared" si="233"/>
        <v>00962970620</v>
      </c>
      <c r="I1864" t="str">
        <f t="shared" si="233"/>
        <v>00962970620</v>
      </c>
      <c r="K1864" t="str">
        <f>""</f>
        <v/>
      </c>
      <c r="M1864" t="s">
        <v>68</v>
      </c>
      <c r="N1864" t="str">
        <f t="shared" si="234"/>
        <v>ALTFIN</v>
      </c>
      <c r="O1864" t="s">
        <v>102</v>
      </c>
      <c r="P1864" t="s">
        <v>83</v>
      </c>
      <c r="Q1864">
        <v>2017</v>
      </c>
      <c r="R1864" s="4">
        <v>42786</v>
      </c>
      <c r="S1864" s="2">
        <v>42787</v>
      </c>
      <c r="T1864" s="2">
        <v>42787</v>
      </c>
      <c r="U1864" s="4">
        <v>42847</v>
      </c>
      <c r="V1864" t="s">
        <v>71</v>
      </c>
      <c r="W1864" t="str">
        <f>"                0220"</f>
        <v xml:space="preserve">                0220</v>
      </c>
      <c r="X1864">
        <v>0</v>
      </c>
      <c r="Y1864">
        <v>330.33</v>
      </c>
      <c r="Z1864" s="3">
        <v>330.33</v>
      </c>
      <c r="AA1864" s="3">
        <v>-60</v>
      </c>
      <c r="AB1864" s="5">
        <v>-19819.8</v>
      </c>
      <c r="AC1864">
        <v>330.33</v>
      </c>
      <c r="AD1864">
        <v>-60</v>
      </c>
      <c r="AE1864" s="1">
        <v>-19819.8</v>
      </c>
      <c r="AF1864">
        <v>0</v>
      </c>
      <c r="AJ1864">
        <v>330.33</v>
      </c>
      <c r="AK1864">
        <v>330.33</v>
      </c>
      <c r="AL1864">
        <v>330.33</v>
      </c>
      <c r="AM1864">
        <v>330.33</v>
      </c>
      <c r="AN1864">
        <v>330.33</v>
      </c>
      <c r="AO1864">
        <v>330.33</v>
      </c>
      <c r="AP1864" s="2">
        <v>42831</v>
      </c>
      <c r="AQ1864" t="s">
        <v>72</v>
      </c>
      <c r="AR1864" t="s">
        <v>72</v>
      </c>
      <c r="AS1864">
        <v>544</v>
      </c>
      <c r="AT1864" s="4">
        <v>42787</v>
      </c>
      <c r="AV1864">
        <v>544</v>
      </c>
      <c r="AW1864" s="4">
        <v>42787</v>
      </c>
      <c r="BD1864">
        <v>0</v>
      </c>
      <c r="BN1864" t="s">
        <v>74</v>
      </c>
    </row>
    <row r="1865" spans="1:66" hidden="1">
      <c r="A1865">
        <v>104175</v>
      </c>
      <c r="B1865" t="s">
        <v>386</v>
      </c>
      <c r="C1865" s="1">
        <v>43500101</v>
      </c>
      <c r="D1865" t="s">
        <v>98</v>
      </c>
      <c r="H1865" t="str">
        <f t="shared" si="233"/>
        <v>00962970620</v>
      </c>
      <c r="I1865" t="str">
        <f t="shared" si="233"/>
        <v>00962970620</v>
      </c>
      <c r="K1865" t="str">
        <f>""</f>
        <v/>
      </c>
      <c r="M1865" t="s">
        <v>68</v>
      </c>
      <c r="N1865" t="str">
        <f t="shared" si="234"/>
        <v>ALTFIN</v>
      </c>
      <c r="O1865" t="s">
        <v>102</v>
      </c>
      <c r="P1865" t="s">
        <v>84</v>
      </c>
      <c r="Q1865">
        <v>2017</v>
      </c>
      <c r="R1865" s="4">
        <v>42815</v>
      </c>
      <c r="S1865" s="2">
        <v>42815</v>
      </c>
      <c r="T1865" s="2">
        <v>42815</v>
      </c>
      <c r="U1865" s="4">
        <v>42875</v>
      </c>
      <c r="V1865" t="s">
        <v>71</v>
      </c>
      <c r="W1865" t="str">
        <f>"                0321"</f>
        <v xml:space="preserve">                0321</v>
      </c>
      <c r="X1865">
        <v>0</v>
      </c>
      <c r="Y1865">
        <v>330.33</v>
      </c>
      <c r="Z1865" s="3">
        <v>330.33</v>
      </c>
      <c r="AA1865" s="3">
        <v>-60</v>
      </c>
      <c r="AB1865" s="5">
        <v>-19819.8</v>
      </c>
      <c r="AC1865">
        <v>330.33</v>
      </c>
      <c r="AD1865">
        <v>-60</v>
      </c>
      <c r="AE1865" s="1">
        <v>-19819.8</v>
      </c>
      <c r="AF1865">
        <v>0</v>
      </c>
      <c r="AJ1865">
        <v>330.33</v>
      </c>
      <c r="AK1865">
        <v>330.33</v>
      </c>
      <c r="AL1865">
        <v>330.33</v>
      </c>
      <c r="AM1865">
        <v>330.33</v>
      </c>
      <c r="AN1865">
        <v>330.33</v>
      </c>
      <c r="AO1865">
        <v>330.33</v>
      </c>
      <c r="AP1865" s="2">
        <v>42831</v>
      </c>
      <c r="AQ1865" t="s">
        <v>72</v>
      </c>
      <c r="AR1865" t="s">
        <v>72</v>
      </c>
      <c r="AS1865">
        <v>841</v>
      </c>
      <c r="AT1865" s="4">
        <v>42815</v>
      </c>
      <c r="AV1865">
        <v>841</v>
      </c>
      <c r="AW1865" s="4">
        <v>42815</v>
      </c>
      <c r="BD1865">
        <v>0</v>
      </c>
      <c r="BN1865" t="s">
        <v>74</v>
      </c>
    </row>
    <row r="1866" spans="1:66" hidden="1">
      <c r="A1866">
        <v>104186</v>
      </c>
      <c r="B1866" t="s">
        <v>387</v>
      </c>
      <c r="C1866" s="1">
        <v>43500101</v>
      </c>
      <c r="D1866" t="s">
        <v>98</v>
      </c>
      <c r="H1866" t="str">
        <f t="shared" ref="H1866:I1868" si="235">"05889861000"</f>
        <v>05889861000</v>
      </c>
      <c r="I1866" t="str">
        <f t="shared" si="235"/>
        <v>05889861000</v>
      </c>
      <c r="K1866" t="str">
        <f>""</f>
        <v/>
      </c>
      <c r="M1866" t="s">
        <v>68</v>
      </c>
      <c r="N1866" t="str">
        <f t="shared" si="234"/>
        <v>ALTFIN</v>
      </c>
      <c r="O1866" t="s">
        <v>102</v>
      </c>
      <c r="P1866" t="s">
        <v>82</v>
      </c>
      <c r="Q1866">
        <v>2017</v>
      </c>
      <c r="R1866" s="4">
        <v>42755</v>
      </c>
      <c r="S1866" s="2">
        <v>42755</v>
      </c>
      <c r="T1866" s="2">
        <v>42755</v>
      </c>
      <c r="U1866" s="4">
        <v>42815</v>
      </c>
      <c r="V1866" t="s">
        <v>71</v>
      </c>
      <c r="W1866" t="str">
        <f>"                0120"</f>
        <v xml:space="preserve">                0120</v>
      </c>
      <c r="X1866">
        <v>0</v>
      </c>
      <c r="Y1866" s="1">
        <v>9555.5</v>
      </c>
      <c r="Z1866" s="5">
        <v>9555.5</v>
      </c>
      <c r="AA1866" s="3">
        <v>-57</v>
      </c>
      <c r="AB1866" s="5">
        <v>-544663.5</v>
      </c>
      <c r="AC1866" s="1">
        <v>9555.5</v>
      </c>
      <c r="AD1866">
        <v>-57</v>
      </c>
      <c r="AE1866" s="1">
        <v>-544663.5</v>
      </c>
      <c r="AF1866">
        <v>0</v>
      </c>
      <c r="AJ1866" s="1">
        <v>9555.5</v>
      </c>
      <c r="AK1866" s="1">
        <v>9555.5</v>
      </c>
      <c r="AL1866" s="1">
        <v>9555.5</v>
      </c>
      <c r="AM1866" s="1">
        <v>9555.5</v>
      </c>
      <c r="AN1866" s="1">
        <v>9555.5</v>
      </c>
      <c r="AO1866" s="1">
        <v>9555.5</v>
      </c>
      <c r="AP1866" s="2">
        <v>42831</v>
      </c>
      <c r="AQ1866" t="s">
        <v>72</v>
      </c>
      <c r="AR1866" t="s">
        <v>72</v>
      </c>
      <c r="AS1866">
        <v>65</v>
      </c>
      <c r="AT1866" s="4">
        <v>42758</v>
      </c>
      <c r="AV1866">
        <v>65</v>
      </c>
      <c r="AW1866" s="4">
        <v>42758</v>
      </c>
      <c r="BD1866">
        <v>0</v>
      </c>
      <c r="BN1866" t="s">
        <v>74</v>
      </c>
    </row>
    <row r="1867" spans="1:66" hidden="1">
      <c r="A1867">
        <v>104186</v>
      </c>
      <c r="B1867" t="s">
        <v>387</v>
      </c>
      <c r="C1867" s="1">
        <v>43500101</v>
      </c>
      <c r="D1867" t="s">
        <v>98</v>
      </c>
      <c r="H1867" t="str">
        <f t="shared" si="235"/>
        <v>05889861000</v>
      </c>
      <c r="I1867" t="str">
        <f t="shared" si="235"/>
        <v>05889861000</v>
      </c>
      <c r="K1867" t="str">
        <f>""</f>
        <v/>
      </c>
      <c r="M1867" t="s">
        <v>68</v>
      </c>
      <c r="N1867" t="str">
        <f t="shared" si="234"/>
        <v>ALTFIN</v>
      </c>
      <c r="O1867" t="s">
        <v>102</v>
      </c>
      <c r="P1867" t="s">
        <v>83</v>
      </c>
      <c r="Q1867">
        <v>2017</v>
      </c>
      <c r="R1867" s="4">
        <v>42786</v>
      </c>
      <c r="S1867" s="2">
        <v>42787</v>
      </c>
      <c r="T1867" s="2">
        <v>42787</v>
      </c>
      <c r="U1867" s="4">
        <v>42847</v>
      </c>
      <c r="V1867" t="s">
        <v>71</v>
      </c>
      <c r="W1867" t="str">
        <f>"                0220"</f>
        <v xml:space="preserve">                0220</v>
      </c>
      <c r="X1867">
        <v>0</v>
      </c>
      <c r="Y1867" s="1">
        <v>9555.5</v>
      </c>
      <c r="Z1867" s="5">
        <v>9555.5</v>
      </c>
      <c r="AA1867" s="3">
        <v>-60</v>
      </c>
      <c r="AB1867" s="5">
        <v>-573330</v>
      </c>
      <c r="AC1867" s="1">
        <v>9555.5</v>
      </c>
      <c r="AD1867">
        <v>-60</v>
      </c>
      <c r="AE1867" s="1">
        <v>-573330</v>
      </c>
      <c r="AF1867">
        <v>0</v>
      </c>
      <c r="AJ1867" s="1">
        <v>9555.5</v>
      </c>
      <c r="AK1867" s="1">
        <v>9555.5</v>
      </c>
      <c r="AL1867" s="1">
        <v>9555.5</v>
      </c>
      <c r="AM1867" s="1">
        <v>9555.5</v>
      </c>
      <c r="AN1867" s="1">
        <v>9555.5</v>
      </c>
      <c r="AO1867" s="1">
        <v>9555.5</v>
      </c>
      <c r="AP1867" s="2">
        <v>42831</v>
      </c>
      <c r="AQ1867" t="s">
        <v>72</v>
      </c>
      <c r="AR1867" t="s">
        <v>72</v>
      </c>
      <c r="AS1867">
        <v>545</v>
      </c>
      <c r="AT1867" s="4">
        <v>42787</v>
      </c>
      <c r="AV1867">
        <v>545</v>
      </c>
      <c r="AW1867" s="4">
        <v>42787</v>
      </c>
      <c r="BD1867">
        <v>0</v>
      </c>
      <c r="BN1867" t="s">
        <v>74</v>
      </c>
    </row>
    <row r="1868" spans="1:66" hidden="1">
      <c r="A1868">
        <v>104186</v>
      </c>
      <c r="B1868" t="s">
        <v>387</v>
      </c>
      <c r="C1868" s="1">
        <v>43500101</v>
      </c>
      <c r="D1868" t="s">
        <v>98</v>
      </c>
      <c r="H1868" t="str">
        <f t="shared" si="235"/>
        <v>05889861000</v>
      </c>
      <c r="I1868" t="str">
        <f t="shared" si="235"/>
        <v>05889861000</v>
      </c>
      <c r="K1868" t="str">
        <f>""</f>
        <v/>
      </c>
      <c r="M1868" t="s">
        <v>68</v>
      </c>
      <c r="N1868" t="str">
        <f t="shared" si="234"/>
        <v>ALTFIN</v>
      </c>
      <c r="O1868" t="s">
        <v>102</v>
      </c>
      <c r="P1868" t="s">
        <v>84</v>
      </c>
      <c r="Q1868">
        <v>2017</v>
      </c>
      <c r="R1868" s="4">
        <v>42815</v>
      </c>
      <c r="S1868" s="2">
        <v>42815</v>
      </c>
      <c r="T1868" s="2">
        <v>42815</v>
      </c>
      <c r="U1868" s="4">
        <v>42875</v>
      </c>
      <c r="V1868" t="s">
        <v>71</v>
      </c>
      <c r="W1868" t="str">
        <f>"                0321"</f>
        <v xml:space="preserve">                0321</v>
      </c>
      <c r="X1868">
        <v>0</v>
      </c>
      <c r="Y1868" s="1">
        <v>9518.5</v>
      </c>
      <c r="Z1868" s="5">
        <v>9518.5</v>
      </c>
      <c r="AA1868" s="3">
        <v>-60</v>
      </c>
      <c r="AB1868" s="5">
        <v>-571110</v>
      </c>
      <c r="AC1868" s="1">
        <v>9518.5</v>
      </c>
      <c r="AD1868">
        <v>-60</v>
      </c>
      <c r="AE1868" s="1">
        <v>-571110</v>
      </c>
      <c r="AF1868">
        <v>0</v>
      </c>
      <c r="AJ1868" s="1">
        <v>9518.5</v>
      </c>
      <c r="AK1868" s="1">
        <v>9518.5</v>
      </c>
      <c r="AL1868" s="1">
        <v>9518.5</v>
      </c>
      <c r="AM1868" s="1">
        <v>9518.5</v>
      </c>
      <c r="AN1868" s="1">
        <v>9518.5</v>
      </c>
      <c r="AO1868" s="1">
        <v>9518.5</v>
      </c>
      <c r="AP1868" s="2">
        <v>42831</v>
      </c>
      <c r="AQ1868" t="s">
        <v>72</v>
      </c>
      <c r="AR1868" t="s">
        <v>72</v>
      </c>
      <c r="AS1868">
        <v>842</v>
      </c>
      <c r="AT1868" s="4">
        <v>42815</v>
      </c>
      <c r="AV1868">
        <v>842</v>
      </c>
      <c r="AW1868" s="4">
        <v>42815</v>
      </c>
      <c r="BD1868">
        <v>0</v>
      </c>
      <c r="BN1868" t="s">
        <v>74</v>
      </c>
    </row>
    <row r="1869" spans="1:66">
      <c r="A1869">
        <v>104195</v>
      </c>
      <c r="B1869" t="s">
        <v>388</v>
      </c>
      <c r="C1869" s="1">
        <v>43300101</v>
      </c>
      <c r="D1869" t="s">
        <v>67</v>
      </c>
      <c r="H1869" t="str">
        <f t="shared" ref="H1869:I1889" si="236">"11206730159"</f>
        <v>11206730159</v>
      </c>
      <c r="I1869" t="str">
        <f t="shared" si="236"/>
        <v>11206730159</v>
      </c>
      <c r="K1869" t="str">
        <f>""</f>
        <v/>
      </c>
      <c r="M1869" t="s">
        <v>68</v>
      </c>
      <c r="N1869" t="str">
        <f t="shared" ref="N1869:N1912" si="237">"FOR"</f>
        <v>FOR</v>
      </c>
      <c r="O1869" t="s">
        <v>69</v>
      </c>
      <c r="P1869" t="s">
        <v>75</v>
      </c>
      <c r="Q1869">
        <v>2016</v>
      </c>
      <c r="R1869" s="4">
        <v>42443</v>
      </c>
      <c r="S1869" s="2">
        <v>42446</v>
      </c>
      <c r="T1869" s="2">
        <v>42443</v>
      </c>
      <c r="U1869" s="4">
        <v>42503</v>
      </c>
      <c r="V1869" t="s">
        <v>71</v>
      </c>
      <c r="W1869" t="str">
        <f>"          7171278705"</f>
        <v xml:space="preserve">          7171278705</v>
      </c>
      <c r="X1869" s="1">
        <v>1144</v>
      </c>
      <c r="Y1869">
        <v>0</v>
      </c>
      <c r="Z1869" s="5">
        <v>1100</v>
      </c>
      <c r="AA1869" s="3">
        <v>265</v>
      </c>
      <c r="AB1869" s="5">
        <v>291500</v>
      </c>
      <c r="AC1869" s="1">
        <v>1100</v>
      </c>
      <c r="AD1869">
        <v>265</v>
      </c>
      <c r="AE1869" s="1">
        <v>291500</v>
      </c>
      <c r="AF1869">
        <v>0</v>
      </c>
      <c r="AJ1869">
        <v>0</v>
      </c>
      <c r="AK1869">
        <v>0</v>
      </c>
      <c r="AL1869">
        <v>0</v>
      </c>
      <c r="AM1869">
        <v>0</v>
      </c>
      <c r="AN1869">
        <v>0</v>
      </c>
      <c r="AO1869">
        <v>0</v>
      </c>
      <c r="AP1869" s="2">
        <v>42831</v>
      </c>
      <c r="AQ1869" t="s">
        <v>72</v>
      </c>
      <c r="AR1869" t="s">
        <v>72</v>
      </c>
      <c r="AS1869">
        <v>279</v>
      </c>
      <c r="AT1869" s="4">
        <v>42768</v>
      </c>
      <c r="AU1869" t="s">
        <v>73</v>
      </c>
      <c r="AV1869">
        <v>279</v>
      </c>
      <c r="AW1869" s="4">
        <v>42768</v>
      </c>
      <c r="BD1869">
        <v>0</v>
      </c>
      <c r="BN1869" t="s">
        <v>74</v>
      </c>
    </row>
    <row r="1870" spans="1:66">
      <c r="A1870">
        <v>104195</v>
      </c>
      <c r="B1870" t="s">
        <v>388</v>
      </c>
      <c r="C1870" s="1">
        <v>43300101</v>
      </c>
      <c r="D1870" t="s">
        <v>67</v>
      </c>
      <c r="H1870" t="str">
        <f t="shared" si="236"/>
        <v>11206730159</v>
      </c>
      <c r="I1870" t="str">
        <f t="shared" si="236"/>
        <v>11206730159</v>
      </c>
      <c r="K1870" t="str">
        <f>""</f>
        <v/>
      </c>
      <c r="M1870" t="s">
        <v>68</v>
      </c>
      <c r="N1870" t="str">
        <f t="shared" si="237"/>
        <v>FOR</v>
      </c>
      <c r="O1870" t="s">
        <v>69</v>
      </c>
      <c r="P1870" t="s">
        <v>75</v>
      </c>
      <c r="Q1870">
        <v>2016</v>
      </c>
      <c r="R1870" s="4">
        <v>42443</v>
      </c>
      <c r="S1870" s="2">
        <v>42446</v>
      </c>
      <c r="T1870" s="2">
        <v>42443</v>
      </c>
      <c r="U1870" s="4">
        <v>42503</v>
      </c>
      <c r="V1870" t="s">
        <v>71</v>
      </c>
      <c r="W1870" t="str">
        <f>"          7171278706"</f>
        <v xml:space="preserve">          7171278706</v>
      </c>
      <c r="X1870" s="1">
        <v>1144</v>
      </c>
      <c r="Y1870">
        <v>0</v>
      </c>
      <c r="Z1870" s="5">
        <v>1100</v>
      </c>
      <c r="AA1870" s="3">
        <v>265</v>
      </c>
      <c r="AB1870" s="5">
        <v>291500</v>
      </c>
      <c r="AC1870" s="1">
        <v>1100</v>
      </c>
      <c r="AD1870">
        <v>265</v>
      </c>
      <c r="AE1870" s="1">
        <v>291500</v>
      </c>
      <c r="AF1870">
        <v>0</v>
      </c>
      <c r="AJ1870">
        <v>0</v>
      </c>
      <c r="AK1870">
        <v>0</v>
      </c>
      <c r="AL1870">
        <v>0</v>
      </c>
      <c r="AM1870">
        <v>0</v>
      </c>
      <c r="AN1870">
        <v>0</v>
      </c>
      <c r="AO1870">
        <v>0</v>
      </c>
      <c r="AP1870" s="2">
        <v>42831</v>
      </c>
      <c r="AQ1870" t="s">
        <v>72</v>
      </c>
      <c r="AR1870" t="s">
        <v>72</v>
      </c>
      <c r="AS1870">
        <v>279</v>
      </c>
      <c r="AT1870" s="4">
        <v>42768</v>
      </c>
      <c r="AU1870" t="s">
        <v>73</v>
      </c>
      <c r="AV1870">
        <v>279</v>
      </c>
      <c r="AW1870" s="4">
        <v>42768</v>
      </c>
      <c r="BD1870">
        <v>0</v>
      </c>
      <c r="BN1870" t="s">
        <v>74</v>
      </c>
    </row>
    <row r="1871" spans="1:66">
      <c r="A1871">
        <v>104195</v>
      </c>
      <c r="B1871" t="s">
        <v>388</v>
      </c>
      <c r="C1871" s="1">
        <v>43300101</v>
      </c>
      <c r="D1871" t="s">
        <v>67</v>
      </c>
      <c r="H1871" t="str">
        <f t="shared" si="236"/>
        <v>11206730159</v>
      </c>
      <c r="I1871" t="str">
        <f t="shared" si="236"/>
        <v>11206730159</v>
      </c>
      <c r="K1871" t="str">
        <f>""</f>
        <v/>
      </c>
      <c r="M1871" t="s">
        <v>68</v>
      </c>
      <c r="N1871" t="str">
        <f t="shared" si="237"/>
        <v>FOR</v>
      </c>
      <c r="O1871" t="s">
        <v>69</v>
      </c>
      <c r="P1871" t="s">
        <v>75</v>
      </c>
      <c r="Q1871">
        <v>2016</v>
      </c>
      <c r="R1871" s="4">
        <v>42443</v>
      </c>
      <c r="S1871" s="2">
        <v>42446</v>
      </c>
      <c r="T1871" s="2">
        <v>42443</v>
      </c>
      <c r="U1871" s="4">
        <v>42503</v>
      </c>
      <c r="V1871" t="s">
        <v>71</v>
      </c>
      <c r="W1871" t="str">
        <f>"          7171278707"</f>
        <v xml:space="preserve">          7171278707</v>
      </c>
      <c r="X1871">
        <v>915</v>
      </c>
      <c r="Y1871">
        <v>0</v>
      </c>
      <c r="Z1871" s="5">
        <v>750</v>
      </c>
      <c r="AA1871" s="3">
        <v>265</v>
      </c>
      <c r="AB1871" s="5">
        <v>198750</v>
      </c>
      <c r="AC1871">
        <v>750</v>
      </c>
      <c r="AD1871">
        <v>265</v>
      </c>
      <c r="AE1871" s="1">
        <v>198750</v>
      </c>
      <c r="AF1871">
        <v>0</v>
      </c>
      <c r="AJ1871">
        <v>0</v>
      </c>
      <c r="AK1871">
        <v>0</v>
      </c>
      <c r="AL1871">
        <v>0</v>
      </c>
      <c r="AM1871">
        <v>0</v>
      </c>
      <c r="AN1871">
        <v>0</v>
      </c>
      <c r="AO1871">
        <v>0</v>
      </c>
      <c r="AP1871" s="2">
        <v>42831</v>
      </c>
      <c r="AQ1871" t="s">
        <v>72</v>
      </c>
      <c r="AR1871" t="s">
        <v>72</v>
      </c>
      <c r="AS1871">
        <v>279</v>
      </c>
      <c r="AT1871" s="4">
        <v>42768</v>
      </c>
      <c r="AU1871" t="s">
        <v>73</v>
      </c>
      <c r="AV1871">
        <v>279</v>
      </c>
      <c r="AW1871" s="4">
        <v>42768</v>
      </c>
      <c r="BD1871">
        <v>0</v>
      </c>
      <c r="BN1871" t="s">
        <v>74</v>
      </c>
    </row>
    <row r="1872" spans="1:66">
      <c r="A1872">
        <v>104195</v>
      </c>
      <c r="B1872" t="s">
        <v>388</v>
      </c>
      <c r="C1872" s="1">
        <v>43300101</v>
      </c>
      <c r="D1872" t="s">
        <v>67</v>
      </c>
      <c r="H1872" t="str">
        <f t="shared" si="236"/>
        <v>11206730159</v>
      </c>
      <c r="I1872" t="str">
        <f t="shared" si="236"/>
        <v>11206730159</v>
      </c>
      <c r="K1872" t="str">
        <f>""</f>
        <v/>
      </c>
      <c r="M1872" t="s">
        <v>68</v>
      </c>
      <c r="N1872" t="str">
        <f t="shared" si="237"/>
        <v>FOR</v>
      </c>
      <c r="O1872" t="s">
        <v>69</v>
      </c>
      <c r="P1872" t="s">
        <v>75</v>
      </c>
      <c r="Q1872">
        <v>2016</v>
      </c>
      <c r="R1872" s="4">
        <v>42443</v>
      </c>
      <c r="S1872" s="2">
        <v>42446</v>
      </c>
      <c r="T1872" s="2">
        <v>42443</v>
      </c>
      <c r="U1872" s="4">
        <v>42503</v>
      </c>
      <c r="V1872" t="s">
        <v>71</v>
      </c>
      <c r="W1872" t="str">
        <f>"          7171278708"</f>
        <v xml:space="preserve">          7171278708</v>
      </c>
      <c r="X1872">
        <v>183</v>
      </c>
      <c r="Y1872">
        <v>0</v>
      </c>
      <c r="Z1872" s="5">
        <v>150</v>
      </c>
      <c r="AA1872" s="3">
        <v>265</v>
      </c>
      <c r="AB1872" s="5">
        <v>39750</v>
      </c>
      <c r="AC1872">
        <v>150</v>
      </c>
      <c r="AD1872">
        <v>265</v>
      </c>
      <c r="AE1872" s="1">
        <v>39750</v>
      </c>
      <c r="AF1872">
        <v>0</v>
      </c>
      <c r="AJ1872">
        <v>0</v>
      </c>
      <c r="AK1872">
        <v>0</v>
      </c>
      <c r="AL1872">
        <v>0</v>
      </c>
      <c r="AM1872">
        <v>0</v>
      </c>
      <c r="AN1872">
        <v>0</v>
      </c>
      <c r="AO1872">
        <v>0</v>
      </c>
      <c r="AP1872" s="2">
        <v>42831</v>
      </c>
      <c r="AQ1872" t="s">
        <v>72</v>
      </c>
      <c r="AR1872" t="s">
        <v>72</v>
      </c>
      <c r="AS1872">
        <v>279</v>
      </c>
      <c r="AT1872" s="4">
        <v>42768</v>
      </c>
      <c r="AU1872" t="s">
        <v>73</v>
      </c>
      <c r="AV1872">
        <v>279</v>
      </c>
      <c r="AW1872" s="4">
        <v>42768</v>
      </c>
      <c r="BD1872">
        <v>0</v>
      </c>
      <c r="BN1872" t="s">
        <v>74</v>
      </c>
    </row>
    <row r="1873" spans="1:66">
      <c r="A1873">
        <v>104195</v>
      </c>
      <c r="B1873" t="s">
        <v>388</v>
      </c>
      <c r="C1873" s="1">
        <v>43300101</v>
      </c>
      <c r="D1873" t="s">
        <v>67</v>
      </c>
      <c r="H1873" t="str">
        <f t="shared" si="236"/>
        <v>11206730159</v>
      </c>
      <c r="I1873" t="str">
        <f t="shared" si="236"/>
        <v>11206730159</v>
      </c>
      <c r="K1873" t="str">
        <f>""</f>
        <v/>
      </c>
      <c r="M1873" t="s">
        <v>68</v>
      </c>
      <c r="N1873" t="str">
        <f t="shared" si="237"/>
        <v>FOR</v>
      </c>
      <c r="O1873" t="s">
        <v>69</v>
      </c>
      <c r="P1873" t="s">
        <v>75</v>
      </c>
      <c r="Q1873">
        <v>2016</v>
      </c>
      <c r="R1873" s="4">
        <v>42445</v>
      </c>
      <c r="S1873" s="2">
        <v>42446</v>
      </c>
      <c r="T1873" s="2">
        <v>42445</v>
      </c>
      <c r="U1873" s="4">
        <v>42505</v>
      </c>
      <c r="V1873" t="s">
        <v>71</v>
      </c>
      <c r="W1873" t="str">
        <f>"          7171279841"</f>
        <v xml:space="preserve">          7171279841</v>
      </c>
      <c r="X1873">
        <v>183</v>
      </c>
      <c r="Y1873">
        <v>0</v>
      </c>
      <c r="Z1873" s="5">
        <v>150</v>
      </c>
      <c r="AA1873" s="3">
        <v>263</v>
      </c>
      <c r="AB1873" s="5">
        <v>39450</v>
      </c>
      <c r="AC1873">
        <v>150</v>
      </c>
      <c r="AD1873">
        <v>263</v>
      </c>
      <c r="AE1873" s="1">
        <v>39450</v>
      </c>
      <c r="AF1873">
        <v>0</v>
      </c>
      <c r="AJ1873">
        <v>0</v>
      </c>
      <c r="AK1873">
        <v>0</v>
      </c>
      <c r="AL1873">
        <v>0</v>
      </c>
      <c r="AM1873">
        <v>0</v>
      </c>
      <c r="AN1873">
        <v>0</v>
      </c>
      <c r="AO1873">
        <v>0</v>
      </c>
      <c r="AP1873" s="2">
        <v>42831</v>
      </c>
      <c r="AQ1873" t="s">
        <v>72</v>
      </c>
      <c r="AR1873" t="s">
        <v>72</v>
      </c>
      <c r="AS1873">
        <v>279</v>
      </c>
      <c r="AT1873" s="4">
        <v>42768</v>
      </c>
      <c r="AU1873" t="s">
        <v>73</v>
      </c>
      <c r="AV1873">
        <v>279</v>
      </c>
      <c r="AW1873" s="4">
        <v>42768</v>
      </c>
      <c r="BD1873">
        <v>0</v>
      </c>
      <c r="BN1873" t="s">
        <v>74</v>
      </c>
    </row>
    <row r="1874" spans="1:66">
      <c r="A1874">
        <v>104195</v>
      </c>
      <c r="B1874" t="s">
        <v>388</v>
      </c>
      <c r="C1874" s="1">
        <v>43300101</v>
      </c>
      <c r="D1874" t="s">
        <v>67</v>
      </c>
      <c r="H1874" t="str">
        <f t="shared" si="236"/>
        <v>11206730159</v>
      </c>
      <c r="I1874" t="str">
        <f t="shared" si="236"/>
        <v>11206730159</v>
      </c>
      <c r="K1874" t="str">
        <f>""</f>
        <v/>
      </c>
      <c r="M1874" t="s">
        <v>68</v>
      </c>
      <c r="N1874" t="str">
        <f t="shared" si="237"/>
        <v>FOR</v>
      </c>
      <c r="O1874" t="s">
        <v>69</v>
      </c>
      <c r="P1874" t="s">
        <v>75</v>
      </c>
      <c r="Q1874">
        <v>2016</v>
      </c>
      <c r="R1874" s="4">
        <v>42445</v>
      </c>
      <c r="S1874" s="2">
        <v>42452</v>
      </c>
      <c r="T1874" s="2">
        <v>42450</v>
      </c>
      <c r="U1874" s="4">
        <v>42510</v>
      </c>
      <c r="V1874" t="s">
        <v>71</v>
      </c>
      <c r="W1874" t="str">
        <f>"          7171279842"</f>
        <v xml:space="preserve">          7171279842</v>
      </c>
      <c r="X1874">
        <v>183</v>
      </c>
      <c r="Y1874">
        <v>0</v>
      </c>
      <c r="Z1874" s="5">
        <v>150</v>
      </c>
      <c r="AA1874" s="3">
        <v>258</v>
      </c>
      <c r="AB1874" s="5">
        <v>38700</v>
      </c>
      <c r="AC1874">
        <v>150</v>
      </c>
      <c r="AD1874">
        <v>258</v>
      </c>
      <c r="AE1874" s="1">
        <v>38700</v>
      </c>
      <c r="AF1874">
        <v>0</v>
      </c>
      <c r="AJ1874">
        <v>0</v>
      </c>
      <c r="AK1874">
        <v>0</v>
      </c>
      <c r="AL1874">
        <v>0</v>
      </c>
      <c r="AM1874">
        <v>0</v>
      </c>
      <c r="AN1874">
        <v>0</v>
      </c>
      <c r="AO1874">
        <v>0</v>
      </c>
      <c r="AP1874" s="2">
        <v>42831</v>
      </c>
      <c r="AQ1874" t="s">
        <v>72</v>
      </c>
      <c r="AR1874" t="s">
        <v>72</v>
      </c>
      <c r="AS1874">
        <v>279</v>
      </c>
      <c r="AT1874" s="4">
        <v>42768</v>
      </c>
      <c r="AU1874" t="s">
        <v>73</v>
      </c>
      <c r="AV1874">
        <v>279</v>
      </c>
      <c r="AW1874" s="4">
        <v>42768</v>
      </c>
      <c r="BD1874">
        <v>0</v>
      </c>
      <c r="BN1874" t="s">
        <v>74</v>
      </c>
    </row>
    <row r="1875" spans="1:66">
      <c r="A1875">
        <v>104195</v>
      </c>
      <c r="B1875" t="s">
        <v>388</v>
      </c>
      <c r="C1875" s="1">
        <v>43300101</v>
      </c>
      <c r="D1875" t="s">
        <v>67</v>
      </c>
      <c r="H1875" t="str">
        <f t="shared" si="236"/>
        <v>11206730159</v>
      </c>
      <c r="I1875" t="str">
        <f t="shared" si="236"/>
        <v>11206730159</v>
      </c>
      <c r="K1875" t="str">
        <f>""</f>
        <v/>
      </c>
      <c r="M1875" t="s">
        <v>68</v>
      </c>
      <c r="N1875" t="str">
        <f t="shared" si="237"/>
        <v>FOR</v>
      </c>
      <c r="O1875" t="s">
        <v>69</v>
      </c>
      <c r="P1875" t="s">
        <v>75</v>
      </c>
      <c r="Q1875">
        <v>2016</v>
      </c>
      <c r="R1875" s="4">
        <v>42452</v>
      </c>
      <c r="S1875" s="2">
        <v>42453</v>
      </c>
      <c r="T1875" s="2">
        <v>42452</v>
      </c>
      <c r="U1875" s="4">
        <v>42512</v>
      </c>
      <c r="V1875" t="s">
        <v>71</v>
      </c>
      <c r="W1875" t="str">
        <f>"          7171282211"</f>
        <v xml:space="preserve">          7171282211</v>
      </c>
      <c r="X1875" s="1">
        <v>1952</v>
      </c>
      <c r="Y1875">
        <v>0</v>
      </c>
      <c r="Z1875" s="5">
        <v>1600</v>
      </c>
      <c r="AA1875" s="3">
        <v>256</v>
      </c>
      <c r="AB1875" s="5">
        <v>409600</v>
      </c>
      <c r="AC1875" s="1">
        <v>1600</v>
      </c>
      <c r="AD1875">
        <v>256</v>
      </c>
      <c r="AE1875" s="1">
        <v>409600</v>
      </c>
      <c r="AF1875">
        <v>0</v>
      </c>
      <c r="AJ1875">
        <v>0</v>
      </c>
      <c r="AK1875">
        <v>0</v>
      </c>
      <c r="AL1875">
        <v>0</v>
      </c>
      <c r="AM1875">
        <v>0</v>
      </c>
      <c r="AN1875">
        <v>0</v>
      </c>
      <c r="AO1875">
        <v>0</v>
      </c>
      <c r="AP1875" s="2">
        <v>42831</v>
      </c>
      <c r="AQ1875" t="s">
        <v>72</v>
      </c>
      <c r="AR1875" t="s">
        <v>72</v>
      </c>
      <c r="AS1875">
        <v>279</v>
      </c>
      <c r="AT1875" s="4">
        <v>42768</v>
      </c>
      <c r="AU1875" t="s">
        <v>73</v>
      </c>
      <c r="AV1875">
        <v>279</v>
      </c>
      <c r="AW1875" s="4">
        <v>42768</v>
      </c>
      <c r="BD1875">
        <v>0</v>
      </c>
      <c r="BN1875" t="s">
        <v>74</v>
      </c>
    </row>
    <row r="1876" spans="1:66">
      <c r="A1876">
        <v>104195</v>
      </c>
      <c r="B1876" t="s">
        <v>388</v>
      </c>
      <c r="C1876" s="1">
        <v>43300101</v>
      </c>
      <c r="D1876" t="s">
        <v>67</v>
      </c>
      <c r="H1876" t="str">
        <f t="shared" si="236"/>
        <v>11206730159</v>
      </c>
      <c r="I1876" t="str">
        <f t="shared" si="236"/>
        <v>11206730159</v>
      </c>
      <c r="K1876" t="str">
        <f>""</f>
        <v/>
      </c>
      <c r="M1876" t="s">
        <v>68</v>
      </c>
      <c r="N1876" t="str">
        <f t="shared" si="237"/>
        <v>FOR</v>
      </c>
      <c r="O1876" t="s">
        <v>69</v>
      </c>
      <c r="P1876" t="s">
        <v>75</v>
      </c>
      <c r="Q1876">
        <v>2016</v>
      </c>
      <c r="R1876" s="4">
        <v>42453</v>
      </c>
      <c r="S1876" s="2">
        <v>42454</v>
      </c>
      <c r="T1876" s="2">
        <v>42453</v>
      </c>
      <c r="U1876" s="4">
        <v>42513</v>
      </c>
      <c r="V1876" t="s">
        <v>71</v>
      </c>
      <c r="W1876" t="str">
        <f>"          7171282732"</f>
        <v xml:space="preserve">          7171282732</v>
      </c>
      <c r="X1876">
        <v>183</v>
      </c>
      <c r="Y1876">
        <v>0</v>
      </c>
      <c r="Z1876" s="5">
        <v>150</v>
      </c>
      <c r="AA1876" s="3">
        <v>255</v>
      </c>
      <c r="AB1876" s="5">
        <v>38250</v>
      </c>
      <c r="AC1876">
        <v>150</v>
      </c>
      <c r="AD1876">
        <v>255</v>
      </c>
      <c r="AE1876" s="1">
        <v>38250</v>
      </c>
      <c r="AF1876">
        <v>0</v>
      </c>
      <c r="AJ1876">
        <v>0</v>
      </c>
      <c r="AK1876">
        <v>0</v>
      </c>
      <c r="AL1876">
        <v>0</v>
      </c>
      <c r="AM1876">
        <v>0</v>
      </c>
      <c r="AN1876">
        <v>0</v>
      </c>
      <c r="AO1876">
        <v>0</v>
      </c>
      <c r="AP1876" s="2">
        <v>42831</v>
      </c>
      <c r="AQ1876" t="s">
        <v>72</v>
      </c>
      <c r="AR1876" t="s">
        <v>72</v>
      </c>
      <c r="AS1876">
        <v>279</v>
      </c>
      <c r="AT1876" s="4">
        <v>42768</v>
      </c>
      <c r="AU1876" t="s">
        <v>73</v>
      </c>
      <c r="AV1876">
        <v>279</v>
      </c>
      <c r="AW1876" s="4">
        <v>42768</v>
      </c>
      <c r="BD1876">
        <v>0</v>
      </c>
      <c r="BN1876" t="s">
        <v>74</v>
      </c>
    </row>
    <row r="1877" spans="1:66">
      <c r="A1877">
        <v>104195</v>
      </c>
      <c r="B1877" t="s">
        <v>388</v>
      </c>
      <c r="C1877" s="1">
        <v>43300101</v>
      </c>
      <c r="D1877" t="s">
        <v>67</v>
      </c>
      <c r="H1877" t="str">
        <f t="shared" si="236"/>
        <v>11206730159</v>
      </c>
      <c r="I1877" t="str">
        <f t="shared" si="236"/>
        <v>11206730159</v>
      </c>
      <c r="K1877" t="str">
        <f>""</f>
        <v/>
      </c>
      <c r="M1877" t="s">
        <v>68</v>
      </c>
      <c r="N1877" t="str">
        <f t="shared" si="237"/>
        <v>FOR</v>
      </c>
      <c r="O1877" t="s">
        <v>69</v>
      </c>
      <c r="P1877" t="s">
        <v>75</v>
      </c>
      <c r="Q1877">
        <v>2016</v>
      </c>
      <c r="R1877" s="4">
        <v>42453</v>
      </c>
      <c r="S1877" s="2">
        <v>42457</v>
      </c>
      <c r="T1877" s="2">
        <v>42453</v>
      </c>
      <c r="U1877" s="4">
        <v>42513</v>
      </c>
      <c r="V1877" t="s">
        <v>71</v>
      </c>
      <c r="W1877" t="str">
        <f>"          7171282733"</f>
        <v xml:space="preserve">          7171282733</v>
      </c>
      <c r="X1877">
        <v>894.4</v>
      </c>
      <c r="Y1877">
        <v>0</v>
      </c>
      <c r="Z1877" s="5">
        <v>860</v>
      </c>
      <c r="AA1877" s="3">
        <v>255</v>
      </c>
      <c r="AB1877" s="5">
        <v>219300</v>
      </c>
      <c r="AC1877">
        <v>860</v>
      </c>
      <c r="AD1877">
        <v>255</v>
      </c>
      <c r="AE1877" s="1">
        <v>219300</v>
      </c>
      <c r="AF1877">
        <v>0</v>
      </c>
      <c r="AJ1877">
        <v>0</v>
      </c>
      <c r="AK1877">
        <v>0</v>
      </c>
      <c r="AL1877">
        <v>0</v>
      </c>
      <c r="AM1877">
        <v>0</v>
      </c>
      <c r="AN1877">
        <v>0</v>
      </c>
      <c r="AO1877">
        <v>0</v>
      </c>
      <c r="AP1877" s="2">
        <v>42831</v>
      </c>
      <c r="AQ1877" t="s">
        <v>72</v>
      </c>
      <c r="AR1877" t="s">
        <v>72</v>
      </c>
      <c r="AS1877">
        <v>279</v>
      </c>
      <c r="AT1877" s="4">
        <v>42768</v>
      </c>
      <c r="AU1877" t="s">
        <v>73</v>
      </c>
      <c r="AV1877">
        <v>279</v>
      </c>
      <c r="AW1877" s="4">
        <v>42768</v>
      </c>
      <c r="BD1877">
        <v>0</v>
      </c>
      <c r="BN1877" t="s">
        <v>74</v>
      </c>
    </row>
    <row r="1878" spans="1:66">
      <c r="A1878">
        <v>104195</v>
      </c>
      <c r="B1878" t="s">
        <v>388</v>
      </c>
      <c r="C1878" s="1">
        <v>43300101</v>
      </c>
      <c r="D1878" t="s">
        <v>67</v>
      </c>
      <c r="H1878" t="str">
        <f t="shared" si="236"/>
        <v>11206730159</v>
      </c>
      <c r="I1878" t="str">
        <f t="shared" si="236"/>
        <v>11206730159</v>
      </c>
      <c r="K1878" t="str">
        <f>""</f>
        <v/>
      </c>
      <c r="M1878" t="s">
        <v>68</v>
      </c>
      <c r="N1878" t="str">
        <f t="shared" si="237"/>
        <v>FOR</v>
      </c>
      <c r="O1878" t="s">
        <v>69</v>
      </c>
      <c r="P1878" t="s">
        <v>75</v>
      </c>
      <c r="Q1878">
        <v>2016</v>
      </c>
      <c r="R1878" s="4">
        <v>42475</v>
      </c>
      <c r="S1878" s="2">
        <v>42478</v>
      </c>
      <c r="T1878" s="2">
        <v>42475</v>
      </c>
      <c r="U1878" s="4">
        <v>42535</v>
      </c>
      <c r="V1878" t="s">
        <v>71</v>
      </c>
      <c r="W1878" t="str">
        <f>"          7171290094"</f>
        <v xml:space="preserve">          7171290094</v>
      </c>
      <c r="X1878" s="1">
        <v>3043.9</v>
      </c>
      <c r="Y1878">
        <v>0</v>
      </c>
      <c r="Z1878" s="5">
        <v>2495</v>
      </c>
      <c r="AA1878" s="3">
        <v>245</v>
      </c>
      <c r="AB1878" s="5">
        <v>611275</v>
      </c>
      <c r="AC1878" s="1">
        <v>2495</v>
      </c>
      <c r="AD1878">
        <v>245</v>
      </c>
      <c r="AE1878" s="1">
        <v>611275</v>
      </c>
      <c r="AF1878">
        <v>0</v>
      </c>
      <c r="AJ1878">
        <v>0</v>
      </c>
      <c r="AK1878">
        <v>0</v>
      </c>
      <c r="AL1878">
        <v>0</v>
      </c>
      <c r="AM1878">
        <v>0</v>
      </c>
      <c r="AN1878">
        <v>0</v>
      </c>
      <c r="AO1878">
        <v>0</v>
      </c>
      <c r="AP1878" s="2">
        <v>42831</v>
      </c>
      <c r="AQ1878" t="s">
        <v>72</v>
      </c>
      <c r="AR1878" t="s">
        <v>72</v>
      </c>
      <c r="AS1878">
        <v>436</v>
      </c>
      <c r="AT1878" s="4">
        <v>42780</v>
      </c>
      <c r="AU1878" t="s">
        <v>73</v>
      </c>
      <c r="AV1878">
        <v>436</v>
      </c>
      <c r="AW1878" s="4">
        <v>42780</v>
      </c>
      <c r="BD1878">
        <v>0</v>
      </c>
      <c r="BN1878" t="s">
        <v>74</v>
      </c>
    </row>
    <row r="1879" spans="1:66">
      <c r="A1879">
        <v>104195</v>
      </c>
      <c r="B1879" t="s">
        <v>388</v>
      </c>
      <c r="C1879" s="1">
        <v>43300101</v>
      </c>
      <c r="D1879" t="s">
        <v>67</v>
      </c>
      <c r="H1879" t="str">
        <f t="shared" si="236"/>
        <v>11206730159</v>
      </c>
      <c r="I1879" t="str">
        <f t="shared" si="236"/>
        <v>11206730159</v>
      </c>
      <c r="K1879" t="str">
        <f>""</f>
        <v/>
      </c>
      <c r="M1879" t="s">
        <v>68</v>
      </c>
      <c r="N1879" t="str">
        <f t="shared" si="237"/>
        <v>FOR</v>
      </c>
      <c r="O1879" t="s">
        <v>69</v>
      </c>
      <c r="P1879" t="s">
        <v>75</v>
      </c>
      <c r="Q1879">
        <v>2016</v>
      </c>
      <c r="R1879" s="4">
        <v>42478</v>
      </c>
      <c r="S1879" s="2">
        <v>42481</v>
      </c>
      <c r="T1879" s="2">
        <v>42478</v>
      </c>
      <c r="U1879" s="4">
        <v>42538</v>
      </c>
      <c r="V1879" t="s">
        <v>71</v>
      </c>
      <c r="W1879" t="str">
        <f>"          7171290526"</f>
        <v xml:space="preserve">          7171290526</v>
      </c>
      <c r="X1879">
        <v>183</v>
      </c>
      <c r="Y1879">
        <v>0</v>
      </c>
      <c r="Z1879" s="5">
        <v>150</v>
      </c>
      <c r="AA1879" s="3">
        <v>242</v>
      </c>
      <c r="AB1879" s="5">
        <v>36300</v>
      </c>
      <c r="AC1879">
        <v>150</v>
      </c>
      <c r="AD1879">
        <v>242</v>
      </c>
      <c r="AE1879" s="1">
        <v>36300</v>
      </c>
      <c r="AF1879">
        <v>0</v>
      </c>
      <c r="AJ1879">
        <v>0</v>
      </c>
      <c r="AK1879">
        <v>0</v>
      </c>
      <c r="AL1879">
        <v>0</v>
      </c>
      <c r="AM1879">
        <v>0</v>
      </c>
      <c r="AN1879">
        <v>0</v>
      </c>
      <c r="AO1879">
        <v>0</v>
      </c>
      <c r="AP1879" s="2">
        <v>42831</v>
      </c>
      <c r="AQ1879" t="s">
        <v>72</v>
      </c>
      <c r="AR1879" t="s">
        <v>72</v>
      </c>
      <c r="AS1879">
        <v>436</v>
      </c>
      <c r="AT1879" s="4">
        <v>42780</v>
      </c>
      <c r="AU1879" t="s">
        <v>73</v>
      </c>
      <c r="AV1879">
        <v>436</v>
      </c>
      <c r="AW1879" s="4">
        <v>42780</v>
      </c>
      <c r="BD1879">
        <v>0</v>
      </c>
      <c r="BN1879" t="s">
        <v>74</v>
      </c>
    </row>
    <row r="1880" spans="1:66">
      <c r="A1880">
        <v>104195</v>
      </c>
      <c r="B1880" t="s">
        <v>388</v>
      </c>
      <c r="C1880" s="1">
        <v>43300101</v>
      </c>
      <c r="D1880" t="s">
        <v>67</v>
      </c>
      <c r="H1880" t="str">
        <f t="shared" si="236"/>
        <v>11206730159</v>
      </c>
      <c r="I1880" t="str">
        <f t="shared" si="236"/>
        <v>11206730159</v>
      </c>
      <c r="K1880" t="str">
        <f>""</f>
        <v/>
      </c>
      <c r="M1880" t="s">
        <v>68</v>
      </c>
      <c r="N1880" t="str">
        <f t="shared" si="237"/>
        <v>FOR</v>
      </c>
      <c r="O1880" t="s">
        <v>69</v>
      </c>
      <c r="P1880" t="s">
        <v>75</v>
      </c>
      <c r="Q1880">
        <v>2016</v>
      </c>
      <c r="R1880" s="4">
        <v>42478</v>
      </c>
      <c r="S1880" s="2">
        <v>42481</v>
      </c>
      <c r="T1880" s="2">
        <v>42478</v>
      </c>
      <c r="U1880" s="4">
        <v>42538</v>
      </c>
      <c r="V1880" t="s">
        <v>71</v>
      </c>
      <c r="W1880" t="str">
        <f>"          7171290527"</f>
        <v xml:space="preserve">          7171290527</v>
      </c>
      <c r="X1880">
        <v>894.4</v>
      </c>
      <c r="Y1880">
        <v>0</v>
      </c>
      <c r="Z1880" s="5">
        <v>860</v>
      </c>
      <c r="AA1880" s="3">
        <v>242</v>
      </c>
      <c r="AB1880" s="5">
        <v>208120</v>
      </c>
      <c r="AC1880">
        <v>860</v>
      </c>
      <c r="AD1880">
        <v>242</v>
      </c>
      <c r="AE1880" s="1">
        <v>208120</v>
      </c>
      <c r="AF1880">
        <v>0</v>
      </c>
      <c r="AJ1880">
        <v>0</v>
      </c>
      <c r="AK1880">
        <v>0</v>
      </c>
      <c r="AL1880">
        <v>0</v>
      </c>
      <c r="AM1880">
        <v>0</v>
      </c>
      <c r="AN1880">
        <v>0</v>
      </c>
      <c r="AO1880">
        <v>0</v>
      </c>
      <c r="AP1880" s="2">
        <v>42831</v>
      </c>
      <c r="AQ1880" t="s">
        <v>72</v>
      </c>
      <c r="AR1880" t="s">
        <v>72</v>
      </c>
      <c r="AS1880">
        <v>436</v>
      </c>
      <c r="AT1880" s="4">
        <v>42780</v>
      </c>
      <c r="AU1880" t="s">
        <v>73</v>
      </c>
      <c r="AV1880">
        <v>436</v>
      </c>
      <c r="AW1880" s="4">
        <v>42780</v>
      </c>
      <c r="BD1880">
        <v>0</v>
      </c>
      <c r="BN1880" t="s">
        <v>74</v>
      </c>
    </row>
    <row r="1881" spans="1:66">
      <c r="A1881">
        <v>104195</v>
      </c>
      <c r="B1881" t="s">
        <v>388</v>
      </c>
      <c r="C1881" s="1">
        <v>43300101</v>
      </c>
      <c r="D1881" t="s">
        <v>67</v>
      </c>
      <c r="H1881" t="str">
        <f t="shared" si="236"/>
        <v>11206730159</v>
      </c>
      <c r="I1881" t="str">
        <f t="shared" si="236"/>
        <v>11206730159</v>
      </c>
      <c r="K1881" t="str">
        <f>""</f>
        <v/>
      </c>
      <c r="M1881" t="s">
        <v>68</v>
      </c>
      <c r="N1881" t="str">
        <f t="shared" si="237"/>
        <v>FOR</v>
      </c>
      <c r="O1881" t="s">
        <v>69</v>
      </c>
      <c r="P1881" t="s">
        <v>75</v>
      </c>
      <c r="Q1881">
        <v>2016</v>
      </c>
      <c r="R1881" s="4">
        <v>42482</v>
      </c>
      <c r="S1881" s="2">
        <v>42486</v>
      </c>
      <c r="T1881" s="2">
        <v>42482</v>
      </c>
      <c r="U1881" s="4">
        <v>42542</v>
      </c>
      <c r="V1881" t="s">
        <v>71</v>
      </c>
      <c r="W1881" t="str">
        <f>"          7171292565"</f>
        <v xml:space="preserve">          7171292565</v>
      </c>
      <c r="X1881">
        <v>884</v>
      </c>
      <c r="Y1881">
        <v>0</v>
      </c>
      <c r="Z1881" s="5">
        <v>850</v>
      </c>
      <c r="AA1881" s="3">
        <v>238</v>
      </c>
      <c r="AB1881" s="5">
        <v>202300</v>
      </c>
      <c r="AC1881">
        <v>850</v>
      </c>
      <c r="AD1881">
        <v>238</v>
      </c>
      <c r="AE1881" s="1">
        <v>202300</v>
      </c>
      <c r="AF1881">
        <v>0</v>
      </c>
      <c r="AJ1881">
        <v>0</v>
      </c>
      <c r="AK1881">
        <v>0</v>
      </c>
      <c r="AL1881">
        <v>0</v>
      </c>
      <c r="AM1881">
        <v>0</v>
      </c>
      <c r="AN1881">
        <v>0</v>
      </c>
      <c r="AO1881">
        <v>0</v>
      </c>
      <c r="AP1881" s="2">
        <v>42831</v>
      </c>
      <c r="AQ1881" t="s">
        <v>72</v>
      </c>
      <c r="AR1881" t="s">
        <v>72</v>
      </c>
      <c r="AS1881">
        <v>436</v>
      </c>
      <c r="AT1881" s="4">
        <v>42780</v>
      </c>
      <c r="AU1881" t="s">
        <v>73</v>
      </c>
      <c r="AV1881">
        <v>436</v>
      </c>
      <c r="AW1881" s="4">
        <v>42780</v>
      </c>
      <c r="BD1881">
        <v>0</v>
      </c>
      <c r="BN1881" t="s">
        <v>74</v>
      </c>
    </row>
    <row r="1882" spans="1:66">
      <c r="A1882">
        <v>104195</v>
      </c>
      <c r="B1882" t="s">
        <v>388</v>
      </c>
      <c r="C1882" s="1">
        <v>43300101</v>
      </c>
      <c r="D1882" t="s">
        <v>67</v>
      </c>
      <c r="H1882" t="str">
        <f t="shared" si="236"/>
        <v>11206730159</v>
      </c>
      <c r="I1882" t="str">
        <f t="shared" si="236"/>
        <v>11206730159</v>
      </c>
      <c r="K1882" t="str">
        <f>""</f>
        <v/>
      </c>
      <c r="M1882" t="s">
        <v>68</v>
      </c>
      <c r="N1882" t="str">
        <f t="shared" si="237"/>
        <v>FOR</v>
      </c>
      <c r="O1882" t="s">
        <v>69</v>
      </c>
      <c r="P1882" t="s">
        <v>75</v>
      </c>
      <c r="Q1882">
        <v>2016</v>
      </c>
      <c r="R1882" s="4">
        <v>42482</v>
      </c>
      <c r="S1882" s="2">
        <v>42486</v>
      </c>
      <c r="T1882" s="2">
        <v>42482</v>
      </c>
      <c r="U1882" s="4">
        <v>42542</v>
      </c>
      <c r="V1882" t="s">
        <v>71</v>
      </c>
      <c r="W1882" t="str">
        <f>"          7171292566"</f>
        <v xml:space="preserve">          7171292566</v>
      </c>
      <c r="X1882">
        <v>884</v>
      </c>
      <c r="Y1882">
        <v>0</v>
      </c>
      <c r="Z1882" s="5">
        <v>850</v>
      </c>
      <c r="AA1882" s="3">
        <v>238</v>
      </c>
      <c r="AB1882" s="5">
        <v>202300</v>
      </c>
      <c r="AC1882">
        <v>850</v>
      </c>
      <c r="AD1882">
        <v>238</v>
      </c>
      <c r="AE1882" s="1">
        <v>202300</v>
      </c>
      <c r="AF1882">
        <v>0</v>
      </c>
      <c r="AJ1882">
        <v>0</v>
      </c>
      <c r="AK1882">
        <v>0</v>
      </c>
      <c r="AL1882">
        <v>0</v>
      </c>
      <c r="AM1882">
        <v>0</v>
      </c>
      <c r="AN1882">
        <v>0</v>
      </c>
      <c r="AO1882">
        <v>0</v>
      </c>
      <c r="AP1882" s="2">
        <v>42831</v>
      </c>
      <c r="AQ1882" t="s">
        <v>72</v>
      </c>
      <c r="AR1882" t="s">
        <v>72</v>
      </c>
      <c r="AS1882">
        <v>436</v>
      </c>
      <c r="AT1882" s="4">
        <v>42780</v>
      </c>
      <c r="AU1882" t="s">
        <v>73</v>
      </c>
      <c r="AV1882">
        <v>436</v>
      </c>
      <c r="AW1882" s="4">
        <v>42780</v>
      </c>
      <c r="BD1882">
        <v>0</v>
      </c>
      <c r="BN1882" t="s">
        <v>74</v>
      </c>
    </row>
    <row r="1883" spans="1:66">
      <c r="A1883">
        <v>104195</v>
      </c>
      <c r="B1883" t="s">
        <v>388</v>
      </c>
      <c r="C1883" s="1">
        <v>43300101</v>
      </c>
      <c r="D1883" t="s">
        <v>67</v>
      </c>
      <c r="H1883" t="str">
        <f t="shared" si="236"/>
        <v>11206730159</v>
      </c>
      <c r="I1883" t="str">
        <f t="shared" si="236"/>
        <v>11206730159</v>
      </c>
      <c r="K1883" t="str">
        <f>""</f>
        <v/>
      </c>
      <c r="M1883" t="s">
        <v>68</v>
      </c>
      <c r="N1883" t="str">
        <f t="shared" si="237"/>
        <v>FOR</v>
      </c>
      <c r="O1883" t="s">
        <v>69</v>
      </c>
      <c r="P1883" t="s">
        <v>75</v>
      </c>
      <c r="Q1883">
        <v>2016</v>
      </c>
      <c r="R1883" s="4">
        <v>42482</v>
      </c>
      <c r="S1883" s="2">
        <v>42486</v>
      </c>
      <c r="T1883" s="2">
        <v>42482</v>
      </c>
      <c r="U1883" s="4">
        <v>42542</v>
      </c>
      <c r="V1883" t="s">
        <v>71</v>
      </c>
      <c r="W1883" t="str">
        <f>"          7171292567"</f>
        <v xml:space="preserve">          7171292567</v>
      </c>
      <c r="X1883">
        <v>884</v>
      </c>
      <c r="Y1883">
        <v>0</v>
      </c>
      <c r="Z1883" s="5">
        <v>850</v>
      </c>
      <c r="AA1883" s="3">
        <v>238</v>
      </c>
      <c r="AB1883" s="5">
        <v>202300</v>
      </c>
      <c r="AC1883">
        <v>850</v>
      </c>
      <c r="AD1883">
        <v>238</v>
      </c>
      <c r="AE1883" s="1">
        <v>202300</v>
      </c>
      <c r="AF1883">
        <v>0</v>
      </c>
      <c r="AJ1883">
        <v>0</v>
      </c>
      <c r="AK1883">
        <v>0</v>
      </c>
      <c r="AL1883">
        <v>0</v>
      </c>
      <c r="AM1883">
        <v>0</v>
      </c>
      <c r="AN1883">
        <v>0</v>
      </c>
      <c r="AO1883">
        <v>0</v>
      </c>
      <c r="AP1883" s="2">
        <v>42831</v>
      </c>
      <c r="AQ1883" t="s">
        <v>72</v>
      </c>
      <c r="AR1883" t="s">
        <v>72</v>
      </c>
      <c r="AS1883">
        <v>436</v>
      </c>
      <c r="AT1883" s="4">
        <v>42780</v>
      </c>
      <c r="AU1883" t="s">
        <v>73</v>
      </c>
      <c r="AV1883">
        <v>436</v>
      </c>
      <c r="AW1883" s="4">
        <v>42780</v>
      </c>
      <c r="BD1883">
        <v>0</v>
      </c>
      <c r="BN1883" t="s">
        <v>74</v>
      </c>
    </row>
    <row r="1884" spans="1:66">
      <c r="A1884">
        <v>104195</v>
      </c>
      <c r="B1884" t="s">
        <v>388</v>
      </c>
      <c r="C1884" s="1">
        <v>43300101</v>
      </c>
      <c r="D1884" t="s">
        <v>67</v>
      </c>
      <c r="H1884" t="str">
        <f t="shared" si="236"/>
        <v>11206730159</v>
      </c>
      <c r="I1884" t="str">
        <f t="shared" si="236"/>
        <v>11206730159</v>
      </c>
      <c r="K1884" t="str">
        <f>""</f>
        <v/>
      </c>
      <c r="M1884" t="s">
        <v>68</v>
      </c>
      <c r="N1884" t="str">
        <f t="shared" si="237"/>
        <v>FOR</v>
      </c>
      <c r="O1884" t="s">
        <v>69</v>
      </c>
      <c r="P1884" t="s">
        <v>75</v>
      </c>
      <c r="Q1884">
        <v>2016</v>
      </c>
      <c r="R1884" s="4">
        <v>42489</v>
      </c>
      <c r="S1884" s="2">
        <v>42492</v>
      </c>
      <c r="T1884" s="2">
        <v>42489</v>
      </c>
      <c r="U1884" s="4">
        <v>42549</v>
      </c>
      <c r="V1884" t="s">
        <v>71</v>
      </c>
      <c r="W1884" t="str">
        <f>"          7171295040"</f>
        <v xml:space="preserve">          7171295040</v>
      </c>
      <c r="X1884" s="1">
        <v>3477</v>
      </c>
      <c r="Y1884">
        <v>0</v>
      </c>
      <c r="Z1884" s="5">
        <v>2850</v>
      </c>
      <c r="AA1884" s="3">
        <v>231</v>
      </c>
      <c r="AB1884" s="5">
        <v>658350</v>
      </c>
      <c r="AC1884" s="1">
        <v>2850</v>
      </c>
      <c r="AD1884">
        <v>231</v>
      </c>
      <c r="AE1884" s="1">
        <v>658350</v>
      </c>
      <c r="AF1884">
        <v>0</v>
      </c>
      <c r="AJ1884">
        <v>0</v>
      </c>
      <c r="AK1884">
        <v>0</v>
      </c>
      <c r="AL1884">
        <v>0</v>
      </c>
      <c r="AM1884">
        <v>0</v>
      </c>
      <c r="AN1884">
        <v>0</v>
      </c>
      <c r="AO1884">
        <v>0</v>
      </c>
      <c r="AP1884" s="2">
        <v>42831</v>
      </c>
      <c r="AQ1884" t="s">
        <v>72</v>
      </c>
      <c r="AR1884" t="s">
        <v>72</v>
      </c>
      <c r="AS1884">
        <v>436</v>
      </c>
      <c r="AT1884" s="4">
        <v>42780</v>
      </c>
      <c r="AU1884" t="s">
        <v>73</v>
      </c>
      <c r="AV1884">
        <v>436</v>
      </c>
      <c r="AW1884" s="4">
        <v>42780</v>
      </c>
      <c r="BD1884">
        <v>0</v>
      </c>
      <c r="BN1884" t="s">
        <v>74</v>
      </c>
    </row>
    <row r="1885" spans="1:66">
      <c r="A1885">
        <v>104195</v>
      </c>
      <c r="B1885" t="s">
        <v>388</v>
      </c>
      <c r="C1885" s="1">
        <v>43300101</v>
      </c>
      <c r="D1885" t="s">
        <v>67</v>
      </c>
      <c r="H1885" t="str">
        <f t="shared" si="236"/>
        <v>11206730159</v>
      </c>
      <c r="I1885" t="str">
        <f t="shared" si="236"/>
        <v>11206730159</v>
      </c>
      <c r="K1885" t="str">
        <f>""</f>
        <v/>
      </c>
      <c r="M1885" t="s">
        <v>68</v>
      </c>
      <c r="N1885" t="str">
        <f t="shared" si="237"/>
        <v>FOR</v>
      </c>
      <c r="O1885" t="s">
        <v>69</v>
      </c>
      <c r="P1885" t="s">
        <v>75</v>
      </c>
      <c r="Q1885">
        <v>2016</v>
      </c>
      <c r="R1885" s="4">
        <v>42510</v>
      </c>
      <c r="S1885" s="2">
        <v>42515</v>
      </c>
      <c r="T1885" s="2">
        <v>42510</v>
      </c>
      <c r="U1885" s="4">
        <v>42570</v>
      </c>
      <c r="V1885" t="s">
        <v>71</v>
      </c>
      <c r="W1885" t="str">
        <f>"          7171302596"</f>
        <v xml:space="preserve">          7171302596</v>
      </c>
      <c r="X1885">
        <v>894.4</v>
      </c>
      <c r="Y1885">
        <v>0</v>
      </c>
      <c r="Z1885" s="5">
        <v>860</v>
      </c>
      <c r="AA1885" s="3">
        <v>223</v>
      </c>
      <c r="AB1885" s="5">
        <v>191780</v>
      </c>
      <c r="AC1885">
        <v>860</v>
      </c>
      <c r="AD1885">
        <v>223</v>
      </c>
      <c r="AE1885" s="1">
        <v>191780</v>
      </c>
      <c r="AF1885">
        <v>0</v>
      </c>
      <c r="AJ1885">
        <v>0</v>
      </c>
      <c r="AK1885">
        <v>0</v>
      </c>
      <c r="AL1885">
        <v>0</v>
      </c>
      <c r="AM1885">
        <v>0</v>
      </c>
      <c r="AN1885">
        <v>0</v>
      </c>
      <c r="AO1885">
        <v>0</v>
      </c>
      <c r="AP1885" s="2">
        <v>42831</v>
      </c>
      <c r="AQ1885" t="s">
        <v>72</v>
      </c>
      <c r="AR1885" t="s">
        <v>72</v>
      </c>
      <c r="AS1885">
        <v>603</v>
      </c>
      <c r="AT1885" s="4">
        <v>42793</v>
      </c>
      <c r="AU1885" t="s">
        <v>73</v>
      </c>
      <c r="AV1885">
        <v>603</v>
      </c>
      <c r="AW1885" s="4">
        <v>42793</v>
      </c>
      <c r="BD1885">
        <v>0</v>
      </c>
      <c r="BN1885" t="s">
        <v>74</v>
      </c>
    </row>
    <row r="1886" spans="1:66">
      <c r="A1886">
        <v>104195</v>
      </c>
      <c r="B1886" t="s">
        <v>388</v>
      </c>
      <c r="C1886" s="1">
        <v>43300101</v>
      </c>
      <c r="D1886" t="s">
        <v>67</v>
      </c>
      <c r="H1886" t="str">
        <f t="shared" si="236"/>
        <v>11206730159</v>
      </c>
      <c r="I1886" t="str">
        <f t="shared" si="236"/>
        <v>11206730159</v>
      </c>
      <c r="K1886" t="str">
        <f>""</f>
        <v/>
      </c>
      <c r="M1886" t="s">
        <v>68</v>
      </c>
      <c r="N1886" t="str">
        <f t="shared" si="237"/>
        <v>FOR</v>
      </c>
      <c r="O1886" t="s">
        <v>69</v>
      </c>
      <c r="P1886" t="s">
        <v>75</v>
      </c>
      <c r="Q1886">
        <v>2016</v>
      </c>
      <c r="R1886" s="4">
        <v>42510</v>
      </c>
      <c r="S1886" s="2">
        <v>42515</v>
      </c>
      <c r="T1886" s="2">
        <v>42510</v>
      </c>
      <c r="U1886" s="4">
        <v>42570</v>
      </c>
      <c r="V1886" t="s">
        <v>71</v>
      </c>
      <c r="W1886" t="str">
        <f>"          7171302597"</f>
        <v xml:space="preserve">          7171302597</v>
      </c>
      <c r="X1886">
        <v>183</v>
      </c>
      <c r="Y1886">
        <v>0</v>
      </c>
      <c r="Z1886" s="5">
        <v>150</v>
      </c>
      <c r="AA1886" s="3">
        <v>223</v>
      </c>
      <c r="AB1886" s="5">
        <v>33450</v>
      </c>
      <c r="AC1886">
        <v>150</v>
      </c>
      <c r="AD1886">
        <v>223</v>
      </c>
      <c r="AE1886" s="1">
        <v>33450</v>
      </c>
      <c r="AF1886">
        <v>0</v>
      </c>
      <c r="AJ1886">
        <v>0</v>
      </c>
      <c r="AK1886">
        <v>0</v>
      </c>
      <c r="AL1886">
        <v>0</v>
      </c>
      <c r="AM1886">
        <v>0</v>
      </c>
      <c r="AN1886">
        <v>0</v>
      </c>
      <c r="AO1886">
        <v>0</v>
      </c>
      <c r="AP1886" s="2">
        <v>42831</v>
      </c>
      <c r="AQ1886" t="s">
        <v>72</v>
      </c>
      <c r="AR1886" t="s">
        <v>72</v>
      </c>
      <c r="AS1886">
        <v>603</v>
      </c>
      <c r="AT1886" s="4">
        <v>42793</v>
      </c>
      <c r="AU1886" t="s">
        <v>73</v>
      </c>
      <c r="AV1886">
        <v>603</v>
      </c>
      <c r="AW1886" s="4">
        <v>42793</v>
      </c>
      <c r="BD1886">
        <v>0</v>
      </c>
      <c r="BN1886" t="s">
        <v>74</v>
      </c>
    </row>
    <row r="1887" spans="1:66">
      <c r="A1887">
        <v>104195</v>
      </c>
      <c r="B1887" t="s">
        <v>388</v>
      </c>
      <c r="C1887" s="1">
        <v>43300101</v>
      </c>
      <c r="D1887" t="s">
        <v>67</v>
      </c>
      <c r="H1887" t="str">
        <f t="shared" si="236"/>
        <v>11206730159</v>
      </c>
      <c r="I1887" t="str">
        <f t="shared" si="236"/>
        <v>11206730159</v>
      </c>
      <c r="K1887" t="str">
        <f>""</f>
        <v/>
      </c>
      <c r="M1887" t="s">
        <v>68</v>
      </c>
      <c r="N1887" t="str">
        <f t="shared" si="237"/>
        <v>FOR</v>
      </c>
      <c r="O1887" t="s">
        <v>69</v>
      </c>
      <c r="P1887" t="s">
        <v>75</v>
      </c>
      <c r="Q1887">
        <v>2016</v>
      </c>
      <c r="R1887" s="4">
        <v>42510</v>
      </c>
      <c r="S1887" s="2">
        <v>42515</v>
      </c>
      <c r="T1887" s="2">
        <v>42510</v>
      </c>
      <c r="U1887" s="4">
        <v>42570</v>
      </c>
      <c r="V1887" t="s">
        <v>71</v>
      </c>
      <c r="W1887" t="str">
        <f>"          7171302598"</f>
        <v xml:space="preserve">          7171302598</v>
      </c>
      <c r="X1887" s="1">
        <v>1144</v>
      </c>
      <c r="Y1887">
        <v>0</v>
      </c>
      <c r="Z1887" s="5">
        <v>1100</v>
      </c>
      <c r="AA1887" s="3">
        <v>223</v>
      </c>
      <c r="AB1887" s="5">
        <v>245300</v>
      </c>
      <c r="AC1887" s="1">
        <v>1100</v>
      </c>
      <c r="AD1887">
        <v>223</v>
      </c>
      <c r="AE1887" s="1">
        <v>245300</v>
      </c>
      <c r="AF1887">
        <v>0</v>
      </c>
      <c r="AJ1887">
        <v>0</v>
      </c>
      <c r="AK1887">
        <v>0</v>
      </c>
      <c r="AL1887">
        <v>0</v>
      </c>
      <c r="AM1887">
        <v>0</v>
      </c>
      <c r="AN1887">
        <v>0</v>
      </c>
      <c r="AO1887">
        <v>0</v>
      </c>
      <c r="AP1887" s="2">
        <v>42831</v>
      </c>
      <c r="AQ1887" t="s">
        <v>72</v>
      </c>
      <c r="AR1887" t="s">
        <v>72</v>
      </c>
      <c r="AS1887">
        <v>603</v>
      </c>
      <c r="AT1887" s="4">
        <v>42793</v>
      </c>
      <c r="AU1887" t="s">
        <v>73</v>
      </c>
      <c r="AV1887">
        <v>603</v>
      </c>
      <c r="AW1887" s="4">
        <v>42793</v>
      </c>
      <c r="BD1887">
        <v>0</v>
      </c>
      <c r="BN1887" t="s">
        <v>74</v>
      </c>
    </row>
    <row r="1888" spans="1:66">
      <c r="A1888">
        <v>104195</v>
      </c>
      <c r="B1888" t="s">
        <v>388</v>
      </c>
      <c r="C1888" s="1">
        <v>43300101</v>
      </c>
      <c r="D1888" t="s">
        <v>67</v>
      </c>
      <c r="H1888" t="str">
        <f t="shared" si="236"/>
        <v>11206730159</v>
      </c>
      <c r="I1888" t="str">
        <f t="shared" si="236"/>
        <v>11206730159</v>
      </c>
      <c r="K1888" t="str">
        <f>""</f>
        <v/>
      </c>
      <c r="M1888" t="s">
        <v>68</v>
      </c>
      <c r="N1888" t="str">
        <f t="shared" si="237"/>
        <v>FOR</v>
      </c>
      <c r="O1888" t="s">
        <v>69</v>
      </c>
      <c r="P1888" t="s">
        <v>75</v>
      </c>
      <c r="Q1888">
        <v>2016</v>
      </c>
      <c r="R1888" s="4">
        <v>42521</v>
      </c>
      <c r="S1888" s="2">
        <v>42522</v>
      </c>
      <c r="T1888" s="2">
        <v>42521</v>
      </c>
      <c r="U1888" s="4">
        <v>42581</v>
      </c>
      <c r="V1888" t="s">
        <v>71</v>
      </c>
      <c r="W1888" t="str">
        <f>"          7171306533"</f>
        <v xml:space="preserve">          7171306533</v>
      </c>
      <c r="X1888">
        <v>183</v>
      </c>
      <c r="Y1888">
        <v>0</v>
      </c>
      <c r="Z1888" s="5">
        <v>150</v>
      </c>
      <c r="AA1888" s="3">
        <v>212</v>
      </c>
      <c r="AB1888" s="5">
        <v>31800</v>
      </c>
      <c r="AC1888">
        <v>150</v>
      </c>
      <c r="AD1888">
        <v>212</v>
      </c>
      <c r="AE1888" s="1">
        <v>31800</v>
      </c>
      <c r="AF1888">
        <v>0</v>
      </c>
      <c r="AJ1888">
        <v>0</v>
      </c>
      <c r="AK1888">
        <v>0</v>
      </c>
      <c r="AL1888">
        <v>0</v>
      </c>
      <c r="AM1888">
        <v>0</v>
      </c>
      <c r="AN1888">
        <v>0</v>
      </c>
      <c r="AO1888">
        <v>0</v>
      </c>
      <c r="AP1888" s="2">
        <v>42831</v>
      </c>
      <c r="AQ1888" t="s">
        <v>72</v>
      </c>
      <c r="AR1888" t="s">
        <v>72</v>
      </c>
      <c r="AS1888">
        <v>603</v>
      </c>
      <c r="AT1888" s="4">
        <v>42793</v>
      </c>
      <c r="AU1888" t="s">
        <v>73</v>
      </c>
      <c r="AV1888">
        <v>603</v>
      </c>
      <c r="AW1888" s="4">
        <v>42793</v>
      </c>
      <c r="BD1888">
        <v>0</v>
      </c>
      <c r="BN1888" t="s">
        <v>74</v>
      </c>
    </row>
    <row r="1889" spans="1:66">
      <c r="A1889">
        <v>104195</v>
      </c>
      <c r="B1889" t="s">
        <v>388</v>
      </c>
      <c r="C1889" s="1">
        <v>43300101</v>
      </c>
      <c r="D1889" t="s">
        <v>67</v>
      </c>
      <c r="H1889" t="str">
        <f t="shared" si="236"/>
        <v>11206730159</v>
      </c>
      <c r="I1889" t="str">
        <f t="shared" si="236"/>
        <v>11206730159</v>
      </c>
      <c r="K1889" t="str">
        <f>""</f>
        <v/>
      </c>
      <c r="M1889" t="s">
        <v>68</v>
      </c>
      <c r="N1889" t="str">
        <f t="shared" si="237"/>
        <v>FOR</v>
      </c>
      <c r="O1889" t="s">
        <v>69</v>
      </c>
      <c r="P1889" t="s">
        <v>75</v>
      </c>
      <c r="Q1889">
        <v>2016</v>
      </c>
      <c r="R1889" s="4">
        <v>42529</v>
      </c>
      <c r="S1889" s="2">
        <v>42530</v>
      </c>
      <c r="T1889" s="2">
        <v>42529</v>
      </c>
      <c r="U1889" s="4">
        <v>42589</v>
      </c>
      <c r="V1889" t="s">
        <v>71</v>
      </c>
      <c r="W1889" t="str">
        <f>"          7171308883"</f>
        <v xml:space="preserve">          7171308883</v>
      </c>
      <c r="X1889" s="1">
        <v>3660</v>
      </c>
      <c r="Y1889">
        <v>0</v>
      </c>
      <c r="Z1889" s="5">
        <v>3000</v>
      </c>
      <c r="AA1889" s="3">
        <v>204</v>
      </c>
      <c r="AB1889" s="5">
        <v>612000</v>
      </c>
      <c r="AC1889" s="1">
        <v>3000</v>
      </c>
      <c r="AD1889">
        <v>204</v>
      </c>
      <c r="AE1889" s="1">
        <v>612000</v>
      </c>
      <c r="AF1889">
        <v>0</v>
      </c>
      <c r="AJ1889">
        <v>0</v>
      </c>
      <c r="AK1889">
        <v>0</v>
      </c>
      <c r="AL1889">
        <v>0</v>
      </c>
      <c r="AM1889">
        <v>0</v>
      </c>
      <c r="AN1889">
        <v>0</v>
      </c>
      <c r="AO1889">
        <v>0</v>
      </c>
      <c r="AP1889" s="2">
        <v>42831</v>
      </c>
      <c r="AQ1889" t="s">
        <v>72</v>
      </c>
      <c r="AR1889" t="s">
        <v>72</v>
      </c>
      <c r="AS1889">
        <v>603</v>
      </c>
      <c r="AT1889" s="4">
        <v>42793</v>
      </c>
      <c r="AU1889" t="s">
        <v>73</v>
      </c>
      <c r="AV1889">
        <v>603</v>
      </c>
      <c r="AW1889" s="4">
        <v>42793</v>
      </c>
      <c r="BD1889">
        <v>0</v>
      </c>
      <c r="BN1889" t="s">
        <v>74</v>
      </c>
    </row>
    <row r="1890" spans="1:66">
      <c r="A1890">
        <v>104214</v>
      </c>
      <c r="B1890" t="s">
        <v>389</v>
      </c>
      <c r="C1890" s="1">
        <v>43300101</v>
      </c>
      <c r="D1890" t="s">
        <v>67</v>
      </c>
      <c r="H1890" t="str">
        <f>"12676030153"</f>
        <v>12676030153</v>
      </c>
      <c r="I1890" t="str">
        <f>"12676030153"</f>
        <v>12676030153</v>
      </c>
      <c r="K1890" t="str">
        <f>""</f>
        <v/>
      </c>
      <c r="M1890" t="s">
        <v>68</v>
      </c>
      <c r="N1890" t="str">
        <f t="shared" si="237"/>
        <v>FOR</v>
      </c>
      <c r="O1890" t="s">
        <v>69</v>
      </c>
      <c r="P1890" t="s">
        <v>75</v>
      </c>
      <c r="Q1890">
        <v>2016</v>
      </c>
      <c r="R1890" s="4">
        <v>42490</v>
      </c>
      <c r="S1890" s="2">
        <v>42529</v>
      </c>
      <c r="T1890" s="2">
        <v>42528</v>
      </c>
      <c r="U1890" s="4">
        <v>42588</v>
      </c>
      <c r="V1890" t="s">
        <v>71</v>
      </c>
      <c r="W1890" t="str">
        <f>"        FATTPA 20_16"</f>
        <v xml:space="preserve">        FATTPA 20_16</v>
      </c>
      <c r="X1890" s="1">
        <v>13420</v>
      </c>
      <c r="Y1890">
        <v>0</v>
      </c>
      <c r="Z1890" s="5">
        <v>11000</v>
      </c>
      <c r="AA1890" s="3">
        <v>194</v>
      </c>
      <c r="AB1890" s="5">
        <v>2134000</v>
      </c>
      <c r="AC1890" s="1">
        <v>11000</v>
      </c>
      <c r="AD1890">
        <v>194</v>
      </c>
      <c r="AE1890" s="1">
        <v>2134000</v>
      </c>
      <c r="AF1890">
        <v>0</v>
      </c>
      <c r="AJ1890">
        <v>0</v>
      </c>
      <c r="AK1890">
        <v>0</v>
      </c>
      <c r="AL1890">
        <v>0</v>
      </c>
      <c r="AM1890">
        <v>0</v>
      </c>
      <c r="AN1890">
        <v>0</v>
      </c>
      <c r="AO1890">
        <v>0</v>
      </c>
      <c r="AP1890" s="2">
        <v>42831</v>
      </c>
      <c r="AQ1890" t="s">
        <v>72</v>
      </c>
      <c r="AR1890" t="s">
        <v>72</v>
      </c>
      <c r="AS1890">
        <v>488</v>
      </c>
      <c r="AT1890" s="4">
        <v>42782</v>
      </c>
      <c r="AU1890" t="s">
        <v>73</v>
      </c>
      <c r="AV1890">
        <v>488</v>
      </c>
      <c r="AW1890" s="4">
        <v>42782</v>
      </c>
      <c r="BD1890">
        <v>0</v>
      </c>
      <c r="BN1890" t="s">
        <v>74</v>
      </c>
    </row>
    <row r="1891" spans="1:66">
      <c r="A1891">
        <v>104229</v>
      </c>
      <c r="B1891" t="s">
        <v>390</v>
      </c>
      <c r="C1891" s="1">
        <v>43300101</v>
      </c>
      <c r="D1891" t="s">
        <v>67</v>
      </c>
      <c r="H1891" t="str">
        <f t="shared" ref="H1891:I1894" si="238">"03350760967"</f>
        <v>03350760967</v>
      </c>
      <c r="I1891" t="str">
        <f t="shared" si="238"/>
        <v>03350760967</v>
      </c>
      <c r="K1891" t="str">
        <f>""</f>
        <v/>
      </c>
      <c r="M1891" t="s">
        <v>68</v>
      </c>
      <c r="N1891" t="str">
        <f t="shared" si="237"/>
        <v>FOR</v>
      </c>
      <c r="O1891" t="s">
        <v>69</v>
      </c>
      <c r="P1891" t="s">
        <v>75</v>
      </c>
      <c r="Q1891">
        <v>2015</v>
      </c>
      <c r="R1891" s="4">
        <v>42129</v>
      </c>
      <c r="S1891" s="2">
        <v>42132</v>
      </c>
      <c r="T1891" s="2">
        <v>42131</v>
      </c>
      <c r="U1891" s="4">
        <v>42191</v>
      </c>
      <c r="V1891" t="s">
        <v>71</v>
      </c>
      <c r="W1891" t="str">
        <f>"          3000000679"</f>
        <v xml:space="preserve">          3000000679</v>
      </c>
      <c r="X1891">
        <v>135.91</v>
      </c>
      <c r="Y1891">
        <v>0</v>
      </c>
      <c r="Z1891" s="5">
        <v>111.4</v>
      </c>
      <c r="AA1891" s="3">
        <v>627</v>
      </c>
      <c r="AB1891" s="5">
        <v>69847.8</v>
      </c>
      <c r="AC1891">
        <v>111.4</v>
      </c>
      <c r="AD1891">
        <v>627</v>
      </c>
      <c r="AE1891" s="1">
        <v>69847.8</v>
      </c>
      <c r="AF1891">
        <v>24.51</v>
      </c>
      <c r="AJ1891">
        <v>0</v>
      </c>
      <c r="AK1891">
        <v>0</v>
      </c>
      <c r="AL1891">
        <v>0</v>
      </c>
      <c r="AM1891">
        <v>0</v>
      </c>
      <c r="AN1891">
        <v>0</v>
      </c>
      <c r="AO1891">
        <v>0</v>
      </c>
      <c r="AP1891" s="2">
        <v>42831</v>
      </c>
      <c r="AQ1891" t="s">
        <v>72</v>
      </c>
      <c r="AR1891" t="s">
        <v>72</v>
      </c>
      <c r="AS1891">
        <v>892</v>
      </c>
      <c r="AT1891" s="4">
        <v>42818</v>
      </c>
      <c r="AU1891" t="s">
        <v>73</v>
      </c>
      <c r="AV1891">
        <v>892</v>
      </c>
      <c r="AW1891" s="4">
        <v>42818</v>
      </c>
      <c r="BD1891">
        <v>24.51</v>
      </c>
      <c r="BN1891" t="s">
        <v>74</v>
      </c>
    </row>
    <row r="1892" spans="1:66">
      <c r="A1892">
        <v>104229</v>
      </c>
      <c r="B1892" t="s">
        <v>390</v>
      </c>
      <c r="C1892" s="1">
        <v>43300101</v>
      </c>
      <c r="D1892" t="s">
        <v>67</v>
      </c>
      <c r="H1892" t="str">
        <f t="shared" si="238"/>
        <v>03350760967</v>
      </c>
      <c r="I1892" t="str">
        <f t="shared" si="238"/>
        <v>03350760967</v>
      </c>
      <c r="K1892" t="str">
        <f>""</f>
        <v/>
      </c>
      <c r="M1892" t="s">
        <v>68</v>
      </c>
      <c r="N1892" t="str">
        <f t="shared" si="237"/>
        <v>FOR</v>
      </c>
      <c r="O1892" t="s">
        <v>69</v>
      </c>
      <c r="P1892" t="s">
        <v>75</v>
      </c>
      <c r="Q1892">
        <v>2016</v>
      </c>
      <c r="R1892" s="4">
        <v>42625</v>
      </c>
      <c r="S1892" s="2">
        <v>42627</v>
      </c>
      <c r="T1892" s="2">
        <v>42626</v>
      </c>
      <c r="U1892" s="4">
        <v>42686</v>
      </c>
      <c r="V1892" t="s">
        <v>71</v>
      </c>
      <c r="W1892" t="str">
        <f>"          3000003447"</f>
        <v xml:space="preserve">          3000003447</v>
      </c>
      <c r="X1892">
        <v>140.54</v>
      </c>
      <c r="Y1892">
        <v>0</v>
      </c>
      <c r="Z1892" s="5">
        <v>115.2</v>
      </c>
      <c r="AA1892" s="3">
        <v>132</v>
      </c>
      <c r="AB1892" s="5">
        <v>15206.4</v>
      </c>
      <c r="AC1892">
        <v>115.2</v>
      </c>
      <c r="AD1892">
        <v>132</v>
      </c>
      <c r="AE1892" s="1">
        <v>15206.4</v>
      </c>
      <c r="AF1892">
        <v>25.34</v>
      </c>
      <c r="AJ1892">
        <v>0</v>
      </c>
      <c r="AK1892">
        <v>0</v>
      </c>
      <c r="AL1892">
        <v>0</v>
      </c>
      <c r="AM1892">
        <v>0</v>
      </c>
      <c r="AN1892">
        <v>0</v>
      </c>
      <c r="AO1892">
        <v>0</v>
      </c>
      <c r="AP1892" s="2">
        <v>42831</v>
      </c>
      <c r="AQ1892" t="s">
        <v>72</v>
      </c>
      <c r="AR1892" t="s">
        <v>72</v>
      </c>
      <c r="AS1892">
        <v>892</v>
      </c>
      <c r="AT1892" s="4">
        <v>42818</v>
      </c>
      <c r="AU1892" t="s">
        <v>73</v>
      </c>
      <c r="AV1892">
        <v>892</v>
      </c>
      <c r="AW1892" s="4">
        <v>42818</v>
      </c>
      <c r="BA1892">
        <v>-11</v>
      </c>
      <c r="BB1892">
        <v>36.340000000000003</v>
      </c>
      <c r="BD1892">
        <v>0</v>
      </c>
      <c r="BN1892" t="s">
        <v>74</v>
      </c>
    </row>
    <row r="1893" spans="1:66">
      <c r="A1893">
        <v>104229</v>
      </c>
      <c r="B1893" t="s">
        <v>390</v>
      </c>
      <c r="C1893" s="1">
        <v>43300101</v>
      </c>
      <c r="D1893" t="s">
        <v>67</v>
      </c>
      <c r="H1893" t="str">
        <f t="shared" si="238"/>
        <v>03350760967</v>
      </c>
      <c r="I1893" t="str">
        <f t="shared" si="238"/>
        <v>03350760967</v>
      </c>
      <c r="K1893" t="str">
        <f>""</f>
        <v/>
      </c>
      <c r="M1893" t="s">
        <v>68</v>
      </c>
      <c r="N1893" t="str">
        <f t="shared" si="237"/>
        <v>FOR</v>
      </c>
      <c r="O1893" t="s">
        <v>69</v>
      </c>
      <c r="P1893" t="s">
        <v>75</v>
      </c>
      <c r="Q1893">
        <v>2016</v>
      </c>
      <c r="R1893" s="4">
        <v>42662</v>
      </c>
      <c r="S1893" s="2">
        <v>42669</v>
      </c>
      <c r="T1893" s="2">
        <v>42663</v>
      </c>
      <c r="U1893" s="4">
        <v>42723</v>
      </c>
      <c r="V1893" t="s">
        <v>71</v>
      </c>
      <c r="W1893" t="str">
        <f>"          3000003975"</f>
        <v xml:space="preserve">          3000003975</v>
      </c>
      <c r="X1893">
        <v>51.24</v>
      </c>
      <c r="Y1893">
        <v>0</v>
      </c>
      <c r="Z1893" s="5">
        <v>42</v>
      </c>
      <c r="AA1893" s="3">
        <v>45</v>
      </c>
      <c r="AB1893" s="5">
        <v>1890</v>
      </c>
      <c r="AC1893">
        <v>42</v>
      </c>
      <c r="AD1893">
        <v>45</v>
      </c>
      <c r="AE1893" s="1">
        <v>1890</v>
      </c>
      <c r="AF1893">
        <v>0</v>
      </c>
      <c r="AJ1893">
        <v>0</v>
      </c>
      <c r="AK1893">
        <v>0</v>
      </c>
      <c r="AL1893">
        <v>0</v>
      </c>
      <c r="AM1893">
        <v>0</v>
      </c>
      <c r="AN1893">
        <v>0</v>
      </c>
      <c r="AO1893">
        <v>0</v>
      </c>
      <c r="AP1893" s="2">
        <v>42831</v>
      </c>
      <c r="AQ1893" t="s">
        <v>72</v>
      </c>
      <c r="AR1893" t="s">
        <v>72</v>
      </c>
      <c r="AS1893">
        <v>282</v>
      </c>
      <c r="AT1893" s="4">
        <v>42768</v>
      </c>
      <c r="AU1893" t="s">
        <v>73</v>
      </c>
      <c r="AV1893">
        <v>282</v>
      </c>
      <c r="AW1893" s="4">
        <v>42768</v>
      </c>
      <c r="BD1893">
        <v>0</v>
      </c>
      <c r="BN1893" t="s">
        <v>74</v>
      </c>
    </row>
    <row r="1894" spans="1:66">
      <c r="A1894">
        <v>104229</v>
      </c>
      <c r="B1894" t="s">
        <v>390</v>
      </c>
      <c r="C1894" s="1">
        <v>43300101</v>
      </c>
      <c r="D1894" t="s">
        <v>67</v>
      </c>
      <c r="H1894" t="str">
        <f t="shared" si="238"/>
        <v>03350760967</v>
      </c>
      <c r="I1894" t="str">
        <f t="shared" si="238"/>
        <v>03350760967</v>
      </c>
      <c r="K1894" t="str">
        <f>""</f>
        <v/>
      </c>
      <c r="M1894" t="s">
        <v>68</v>
      </c>
      <c r="N1894" t="str">
        <f t="shared" si="237"/>
        <v>FOR</v>
      </c>
      <c r="O1894" t="s">
        <v>69</v>
      </c>
      <c r="P1894" t="s">
        <v>75</v>
      </c>
      <c r="Q1894">
        <v>2016</v>
      </c>
      <c r="R1894" s="4">
        <v>42681</v>
      </c>
      <c r="S1894" s="2">
        <v>42682</v>
      </c>
      <c r="T1894" s="2">
        <v>42682</v>
      </c>
      <c r="U1894" s="4">
        <v>42742</v>
      </c>
      <c r="V1894" t="s">
        <v>71</v>
      </c>
      <c r="W1894" t="str">
        <f>"          3000004215"</f>
        <v xml:space="preserve">          3000004215</v>
      </c>
      <c r="X1894">
        <v>210.82</v>
      </c>
      <c r="Y1894">
        <v>0</v>
      </c>
      <c r="Z1894" s="5">
        <v>172.8</v>
      </c>
      <c r="AA1894" s="3">
        <v>26</v>
      </c>
      <c r="AB1894" s="5">
        <v>4492.8</v>
      </c>
      <c r="AC1894">
        <v>172.8</v>
      </c>
      <c r="AD1894">
        <v>26</v>
      </c>
      <c r="AE1894" s="1">
        <v>4492.8</v>
      </c>
      <c r="AF1894">
        <v>0</v>
      </c>
      <c r="AJ1894">
        <v>0</v>
      </c>
      <c r="AK1894">
        <v>0</v>
      </c>
      <c r="AL1894">
        <v>0</v>
      </c>
      <c r="AM1894">
        <v>0</v>
      </c>
      <c r="AN1894">
        <v>0</v>
      </c>
      <c r="AO1894">
        <v>0</v>
      </c>
      <c r="AP1894" s="2">
        <v>42831</v>
      </c>
      <c r="AQ1894" t="s">
        <v>72</v>
      </c>
      <c r="AR1894" t="s">
        <v>72</v>
      </c>
      <c r="AS1894">
        <v>282</v>
      </c>
      <c r="AT1894" s="4">
        <v>42768</v>
      </c>
      <c r="AU1894" t="s">
        <v>73</v>
      </c>
      <c r="AV1894">
        <v>282</v>
      </c>
      <c r="AW1894" s="4">
        <v>42768</v>
      </c>
      <c r="BD1894">
        <v>0</v>
      </c>
      <c r="BN1894" t="s">
        <v>74</v>
      </c>
    </row>
    <row r="1895" spans="1:66">
      <c r="A1895">
        <v>104241</v>
      </c>
      <c r="B1895" t="s">
        <v>391</v>
      </c>
      <c r="C1895" s="1">
        <v>43300101</v>
      </c>
      <c r="D1895" t="s">
        <v>67</v>
      </c>
      <c r="H1895" t="str">
        <f>"05582941000"</f>
        <v>05582941000</v>
      </c>
      <c r="I1895" t="str">
        <f>"05582941000"</f>
        <v>05582941000</v>
      </c>
      <c r="K1895" t="str">
        <f>""</f>
        <v/>
      </c>
      <c r="M1895" t="s">
        <v>68</v>
      </c>
      <c r="N1895" t="str">
        <f t="shared" si="237"/>
        <v>FOR</v>
      </c>
      <c r="O1895" t="s">
        <v>69</v>
      </c>
      <c r="P1895" t="s">
        <v>75</v>
      </c>
      <c r="Q1895">
        <v>2016</v>
      </c>
      <c r="R1895" s="4">
        <v>42724</v>
      </c>
      <c r="S1895" s="2">
        <v>42727</v>
      </c>
      <c r="T1895" s="2">
        <v>42725</v>
      </c>
      <c r="U1895" s="4">
        <v>42785</v>
      </c>
      <c r="V1895" t="s">
        <v>71</v>
      </c>
      <c r="W1895" t="str">
        <f>"          9416029827"</f>
        <v xml:space="preserve">          9416029827</v>
      </c>
      <c r="X1895">
        <v>261.02999999999997</v>
      </c>
      <c r="Y1895">
        <v>0</v>
      </c>
      <c r="Z1895" s="5">
        <v>237.3</v>
      </c>
      <c r="AA1895" s="3">
        <v>-11</v>
      </c>
      <c r="AB1895" s="5">
        <v>-2610.3000000000002</v>
      </c>
      <c r="AC1895">
        <v>237.3</v>
      </c>
      <c r="AD1895">
        <v>-11</v>
      </c>
      <c r="AE1895" s="1">
        <v>-2610.3000000000002</v>
      </c>
      <c r="AF1895">
        <v>0</v>
      </c>
      <c r="AJ1895">
        <v>0</v>
      </c>
      <c r="AK1895">
        <v>0</v>
      </c>
      <c r="AL1895">
        <v>0</v>
      </c>
      <c r="AM1895">
        <v>0</v>
      </c>
      <c r="AN1895">
        <v>0</v>
      </c>
      <c r="AO1895">
        <v>0</v>
      </c>
      <c r="AP1895" s="2">
        <v>42831</v>
      </c>
      <c r="AQ1895" t="s">
        <v>72</v>
      </c>
      <c r="AR1895" t="s">
        <v>72</v>
      </c>
      <c r="AS1895">
        <v>338</v>
      </c>
      <c r="AT1895" s="4">
        <v>42774</v>
      </c>
      <c r="AV1895">
        <v>338</v>
      </c>
      <c r="AW1895" s="4">
        <v>42774</v>
      </c>
      <c r="BD1895">
        <v>0</v>
      </c>
      <c r="BN1895" t="s">
        <v>74</v>
      </c>
    </row>
    <row r="1896" spans="1:66">
      <c r="A1896">
        <v>104243</v>
      </c>
      <c r="B1896" t="s">
        <v>392</v>
      </c>
      <c r="C1896" s="1">
        <v>43300101</v>
      </c>
      <c r="D1896" t="s">
        <v>67</v>
      </c>
      <c r="H1896" t="str">
        <f t="shared" ref="H1896:H1912" si="239">"12300580151"</f>
        <v>12300580151</v>
      </c>
      <c r="I1896" t="str">
        <f t="shared" ref="I1896:I1912" si="240">"02426070120"</f>
        <v>02426070120</v>
      </c>
      <c r="K1896" t="str">
        <f>""</f>
        <v/>
      </c>
      <c r="M1896" t="s">
        <v>68</v>
      </c>
      <c r="N1896" t="str">
        <f t="shared" si="237"/>
        <v>FOR</v>
      </c>
      <c r="O1896" t="s">
        <v>69</v>
      </c>
      <c r="P1896" t="s">
        <v>75</v>
      </c>
      <c r="Q1896">
        <v>2016</v>
      </c>
      <c r="R1896" s="4">
        <v>42451</v>
      </c>
      <c r="S1896" s="2">
        <v>42453</v>
      </c>
      <c r="T1896" s="2">
        <v>42452</v>
      </c>
      <c r="U1896" s="4">
        <v>42512</v>
      </c>
      <c r="V1896" t="s">
        <v>71</v>
      </c>
      <c r="W1896" t="str">
        <f>"            90005335"</f>
        <v xml:space="preserve">            90005335</v>
      </c>
      <c r="X1896">
        <v>683.2</v>
      </c>
      <c r="Y1896">
        <v>0</v>
      </c>
      <c r="Z1896" s="5">
        <v>560</v>
      </c>
      <c r="AA1896" s="3">
        <v>256</v>
      </c>
      <c r="AB1896" s="5">
        <v>143360</v>
      </c>
      <c r="AC1896">
        <v>560</v>
      </c>
      <c r="AD1896">
        <v>256</v>
      </c>
      <c r="AE1896" s="1">
        <v>143360</v>
      </c>
      <c r="AF1896">
        <v>0</v>
      </c>
      <c r="AJ1896">
        <v>0</v>
      </c>
      <c r="AK1896">
        <v>0</v>
      </c>
      <c r="AL1896">
        <v>0</v>
      </c>
      <c r="AM1896">
        <v>0</v>
      </c>
      <c r="AN1896">
        <v>0</v>
      </c>
      <c r="AO1896">
        <v>0</v>
      </c>
      <c r="AP1896" s="2">
        <v>42831</v>
      </c>
      <c r="AQ1896" t="s">
        <v>72</v>
      </c>
      <c r="AR1896" t="s">
        <v>72</v>
      </c>
      <c r="AS1896">
        <v>204</v>
      </c>
      <c r="AT1896" s="4">
        <v>42768</v>
      </c>
      <c r="AU1896" t="s">
        <v>73</v>
      </c>
      <c r="AV1896">
        <v>204</v>
      </c>
      <c r="AW1896" s="4">
        <v>42768</v>
      </c>
      <c r="BD1896">
        <v>0</v>
      </c>
      <c r="BN1896" t="s">
        <v>74</v>
      </c>
    </row>
    <row r="1897" spans="1:66">
      <c r="A1897">
        <v>104243</v>
      </c>
      <c r="B1897" t="s">
        <v>392</v>
      </c>
      <c r="C1897" s="1">
        <v>43300101</v>
      </c>
      <c r="D1897" t="s">
        <v>67</v>
      </c>
      <c r="H1897" t="str">
        <f t="shared" si="239"/>
        <v>12300580151</v>
      </c>
      <c r="I1897" t="str">
        <f t="shared" si="240"/>
        <v>02426070120</v>
      </c>
      <c r="K1897" t="str">
        <f>""</f>
        <v/>
      </c>
      <c r="M1897" t="s">
        <v>68</v>
      </c>
      <c r="N1897" t="str">
        <f t="shared" si="237"/>
        <v>FOR</v>
      </c>
      <c r="O1897" t="s">
        <v>69</v>
      </c>
      <c r="P1897" t="s">
        <v>75</v>
      </c>
      <c r="Q1897">
        <v>2016</v>
      </c>
      <c r="R1897" s="4">
        <v>42451</v>
      </c>
      <c r="S1897" s="2">
        <v>42453</v>
      </c>
      <c r="T1897" s="2">
        <v>42452</v>
      </c>
      <c r="U1897" s="4">
        <v>42512</v>
      </c>
      <c r="V1897" t="s">
        <v>71</v>
      </c>
      <c r="W1897" t="str">
        <f>"            90005337"</f>
        <v xml:space="preserve">            90005337</v>
      </c>
      <c r="X1897">
        <v>936.96</v>
      </c>
      <c r="Y1897">
        <v>0</v>
      </c>
      <c r="Z1897" s="5">
        <v>768</v>
      </c>
      <c r="AA1897" s="3">
        <v>256</v>
      </c>
      <c r="AB1897" s="5">
        <v>196608</v>
      </c>
      <c r="AC1897">
        <v>768</v>
      </c>
      <c r="AD1897">
        <v>256</v>
      </c>
      <c r="AE1897" s="1">
        <v>196608</v>
      </c>
      <c r="AF1897">
        <v>0</v>
      </c>
      <c r="AJ1897">
        <v>0</v>
      </c>
      <c r="AK1897">
        <v>0</v>
      </c>
      <c r="AL1897">
        <v>0</v>
      </c>
      <c r="AM1897">
        <v>0</v>
      </c>
      <c r="AN1897">
        <v>0</v>
      </c>
      <c r="AO1897">
        <v>0</v>
      </c>
      <c r="AP1897" s="2">
        <v>42831</v>
      </c>
      <c r="AQ1897" t="s">
        <v>72</v>
      </c>
      <c r="AR1897" t="s">
        <v>72</v>
      </c>
      <c r="AS1897">
        <v>204</v>
      </c>
      <c r="AT1897" s="4">
        <v>42768</v>
      </c>
      <c r="AU1897" t="s">
        <v>73</v>
      </c>
      <c r="AV1897">
        <v>204</v>
      </c>
      <c r="AW1897" s="4">
        <v>42768</v>
      </c>
      <c r="BD1897">
        <v>0</v>
      </c>
      <c r="BN1897" t="s">
        <v>74</v>
      </c>
    </row>
    <row r="1898" spans="1:66">
      <c r="A1898">
        <v>104243</v>
      </c>
      <c r="B1898" t="s">
        <v>392</v>
      </c>
      <c r="C1898" s="1">
        <v>43300101</v>
      </c>
      <c r="D1898" t="s">
        <v>67</v>
      </c>
      <c r="H1898" t="str">
        <f t="shared" si="239"/>
        <v>12300580151</v>
      </c>
      <c r="I1898" t="str">
        <f t="shared" si="240"/>
        <v>02426070120</v>
      </c>
      <c r="K1898" t="str">
        <f>""</f>
        <v/>
      </c>
      <c r="M1898" t="s">
        <v>68</v>
      </c>
      <c r="N1898" t="str">
        <f t="shared" si="237"/>
        <v>FOR</v>
      </c>
      <c r="O1898" t="s">
        <v>69</v>
      </c>
      <c r="P1898" t="s">
        <v>75</v>
      </c>
      <c r="Q1898">
        <v>2016</v>
      </c>
      <c r="R1898" s="4">
        <v>42455</v>
      </c>
      <c r="S1898" s="2">
        <v>42458</v>
      </c>
      <c r="T1898" s="2">
        <v>42458</v>
      </c>
      <c r="U1898" s="4">
        <v>42518</v>
      </c>
      <c r="V1898" t="s">
        <v>71</v>
      </c>
      <c r="W1898" t="str">
        <f>"            90005700"</f>
        <v xml:space="preserve">            90005700</v>
      </c>
      <c r="X1898">
        <v>546.55999999999995</v>
      </c>
      <c r="Y1898">
        <v>0</v>
      </c>
      <c r="Z1898" s="5">
        <v>448</v>
      </c>
      <c r="AA1898" s="3">
        <v>250</v>
      </c>
      <c r="AB1898" s="5">
        <v>112000</v>
      </c>
      <c r="AC1898">
        <v>448</v>
      </c>
      <c r="AD1898">
        <v>250</v>
      </c>
      <c r="AE1898" s="1">
        <v>112000</v>
      </c>
      <c r="AF1898">
        <v>0</v>
      </c>
      <c r="AJ1898">
        <v>0</v>
      </c>
      <c r="AK1898">
        <v>0</v>
      </c>
      <c r="AL1898">
        <v>0</v>
      </c>
      <c r="AM1898">
        <v>0</v>
      </c>
      <c r="AN1898">
        <v>0</v>
      </c>
      <c r="AO1898">
        <v>0</v>
      </c>
      <c r="AP1898" s="2">
        <v>42831</v>
      </c>
      <c r="AQ1898" t="s">
        <v>72</v>
      </c>
      <c r="AR1898" t="s">
        <v>72</v>
      </c>
      <c r="AS1898">
        <v>204</v>
      </c>
      <c r="AT1898" s="4">
        <v>42768</v>
      </c>
      <c r="AU1898" t="s">
        <v>73</v>
      </c>
      <c r="AV1898">
        <v>204</v>
      </c>
      <c r="AW1898" s="4">
        <v>42768</v>
      </c>
      <c r="BD1898">
        <v>0</v>
      </c>
      <c r="BN1898" t="s">
        <v>74</v>
      </c>
    </row>
    <row r="1899" spans="1:66">
      <c r="A1899">
        <v>104243</v>
      </c>
      <c r="B1899" t="s">
        <v>392</v>
      </c>
      <c r="C1899" s="1">
        <v>43300101</v>
      </c>
      <c r="D1899" t="s">
        <v>67</v>
      </c>
      <c r="H1899" t="str">
        <f t="shared" si="239"/>
        <v>12300580151</v>
      </c>
      <c r="I1899" t="str">
        <f t="shared" si="240"/>
        <v>02426070120</v>
      </c>
      <c r="K1899" t="str">
        <f>""</f>
        <v/>
      </c>
      <c r="M1899" t="s">
        <v>68</v>
      </c>
      <c r="N1899" t="str">
        <f t="shared" si="237"/>
        <v>FOR</v>
      </c>
      <c r="O1899" t="s">
        <v>69</v>
      </c>
      <c r="P1899" t="s">
        <v>75</v>
      </c>
      <c r="Q1899">
        <v>2016</v>
      </c>
      <c r="R1899" s="4">
        <v>42455</v>
      </c>
      <c r="S1899" s="2">
        <v>42458</v>
      </c>
      <c r="T1899" s="2">
        <v>42458</v>
      </c>
      <c r="U1899" s="4">
        <v>42518</v>
      </c>
      <c r="V1899" t="s">
        <v>71</v>
      </c>
      <c r="W1899" t="str">
        <f>"            90005701"</f>
        <v xml:space="preserve">            90005701</v>
      </c>
      <c r="X1899">
        <v>819.84</v>
      </c>
      <c r="Y1899">
        <v>0</v>
      </c>
      <c r="Z1899" s="5">
        <v>672</v>
      </c>
      <c r="AA1899" s="3">
        <v>250</v>
      </c>
      <c r="AB1899" s="5">
        <v>168000</v>
      </c>
      <c r="AC1899">
        <v>672</v>
      </c>
      <c r="AD1899">
        <v>250</v>
      </c>
      <c r="AE1899" s="1">
        <v>168000</v>
      </c>
      <c r="AF1899">
        <v>0</v>
      </c>
      <c r="AJ1899">
        <v>0</v>
      </c>
      <c r="AK1899">
        <v>0</v>
      </c>
      <c r="AL1899">
        <v>0</v>
      </c>
      <c r="AM1899">
        <v>0</v>
      </c>
      <c r="AN1899">
        <v>0</v>
      </c>
      <c r="AO1899">
        <v>0</v>
      </c>
      <c r="AP1899" s="2">
        <v>42831</v>
      </c>
      <c r="AQ1899" t="s">
        <v>72</v>
      </c>
      <c r="AR1899" t="s">
        <v>72</v>
      </c>
      <c r="AS1899">
        <v>204</v>
      </c>
      <c r="AT1899" s="4">
        <v>42768</v>
      </c>
      <c r="AU1899" t="s">
        <v>73</v>
      </c>
      <c r="AV1899">
        <v>204</v>
      </c>
      <c r="AW1899" s="4">
        <v>42768</v>
      </c>
      <c r="BD1899">
        <v>0</v>
      </c>
      <c r="BN1899" t="s">
        <v>74</v>
      </c>
    </row>
    <row r="1900" spans="1:66">
      <c r="A1900">
        <v>104243</v>
      </c>
      <c r="B1900" t="s">
        <v>392</v>
      </c>
      <c r="C1900" s="1">
        <v>43300101</v>
      </c>
      <c r="D1900" t="s">
        <v>67</v>
      </c>
      <c r="H1900" t="str">
        <f t="shared" si="239"/>
        <v>12300580151</v>
      </c>
      <c r="I1900" t="str">
        <f t="shared" si="240"/>
        <v>02426070120</v>
      </c>
      <c r="K1900" t="str">
        <f>""</f>
        <v/>
      </c>
      <c r="M1900" t="s">
        <v>68</v>
      </c>
      <c r="N1900" t="str">
        <f t="shared" si="237"/>
        <v>FOR</v>
      </c>
      <c r="O1900" t="s">
        <v>69</v>
      </c>
      <c r="P1900" t="s">
        <v>75</v>
      </c>
      <c r="Q1900">
        <v>2016</v>
      </c>
      <c r="R1900" s="4">
        <v>42455</v>
      </c>
      <c r="S1900" s="2">
        <v>42458</v>
      </c>
      <c r="T1900" s="2">
        <v>42458</v>
      </c>
      <c r="U1900" s="4">
        <v>42518</v>
      </c>
      <c r="V1900" t="s">
        <v>71</v>
      </c>
      <c r="W1900" t="str">
        <f>"            90005702"</f>
        <v xml:space="preserve">            90005702</v>
      </c>
      <c r="X1900" s="1">
        <v>1090.68</v>
      </c>
      <c r="Y1900">
        <v>0</v>
      </c>
      <c r="Z1900" s="5">
        <v>894</v>
      </c>
      <c r="AA1900" s="3">
        <v>250</v>
      </c>
      <c r="AB1900" s="5">
        <v>223500</v>
      </c>
      <c r="AC1900">
        <v>894</v>
      </c>
      <c r="AD1900">
        <v>250</v>
      </c>
      <c r="AE1900" s="1">
        <v>223500</v>
      </c>
      <c r="AF1900">
        <v>0</v>
      </c>
      <c r="AJ1900">
        <v>0</v>
      </c>
      <c r="AK1900">
        <v>0</v>
      </c>
      <c r="AL1900">
        <v>0</v>
      </c>
      <c r="AM1900">
        <v>0</v>
      </c>
      <c r="AN1900">
        <v>0</v>
      </c>
      <c r="AO1900">
        <v>0</v>
      </c>
      <c r="AP1900" s="2">
        <v>42831</v>
      </c>
      <c r="AQ1900" t="s">
        <v>72</v>
      </c>
      <c r="AR1900" t="s">
        <v>72</v>
      </c>
      <c r="AS1900">
        <v>204</v>
      </c>
      <c r="AT1900" s="4">
        <v>42768</v>
      </c>
      <c r="AU1900" t="s">
        <v>73</v>
      </c>
      <c r="AV1900">
        <v>204</v>
      </c>
      <c r="AW1900" s="4">
        <v>42768</v>
      </c>
      <c r="BD1900">
        <v>0</v>
      </c>
      <c r="BN1900" t="s">
        <v>74</v>
      </c>
    </row>
    <row r="1901" spans="1:66">
      <c r="A1901">
        <v>104243</v>
      </c>
      <c r="B1901" t="s">
        <v>392</v>
      </c>
      <c r="C1901" s="1">
        <v>43300101</v>
      </c>
      <c r="D1901" t="s">
        <v>67</v>
      </c>
      <c r="H1901" t="str">
        <f t="shared" si="239"/>
        <v>12300580151</v>
      </c>
      <c r="I1901" t="str">
        <f t="shared" si="240"/>
        <v>02426070120</v>
      </c>
      <c r="K1901" t="str">
        <f>""</f>
        <v/>
      </c>
      <c r="M1901" t="s">
        <v>68</v>
      </c>
      <c r="N1901" t="str">
        <f t="shared" si="237"/>
        <v>FOR</v>
      </c>
      <c r="O1901" t="s">
        <v>69</v>
      </c>
      <c r="P1901" t="s">
        <v>75</v>
      </c>
      <c r="Q1901">
        <v>2016</v>
      </c>
      <c r="R1901" s="4">
        <v>42465</v>
      </c>
      <c r="S1901" s="2">
        <v>42473</v>
      </c>
      <c r="T1901" s="2">
        <v>42465</v>
      </c>
      <c r="U1901" s="4">
        <v>42525</v>
      </c>
      <c r="V1901" t="s">
        <v>71</v>
      </c>
      <c r="W1901" t="str">
        <f>"            90006434"</f>
        <v xml:space="preserve">            90006434</v>
      </c>
      <c r="X1901">
        <v>468.48</v>
      </c>
      <c r="Y1901">
        <v>0</v>
      </c>
      <c r="Z1901" s="5">
        <v>384</v>
      </c>
      <c r="AA1901" s="3">
        <v>256</v>
      </c>
      <c r="AB1901" s="5">
        <v>98304</v>
      </c>
      <c r="AC1901">
        <v>384</v>
      </c>
      <c r="AD1901">
        <v>256</v>
      </c>
      <c r="AE1901" s="1">
        <v>98304</v>
      </c>
      <c r="AF1901">
        <v>0</v>
      </c>
      <c r="AJ1901">
        <v>0</v>
      </c>
      <c r="AK1901">
        <v>0</v>
      </c>
      <c r="AL1901">
        <v>0</v>
      </c>
      <c r="AM1901">
        <v>0</v>
      </c>
      <c r="AN1901">
        <v>0</v>
      </c>
      <c r="AO1901">
        <v>0</v>
      </c>
      <c r="AP1901" s="2">
        <v>42831</v>
      </c>
      <c r="AQ1901" t="s">
        <v>72</v>
      </c>
      <c r="AR1901" t="s">
        <v>72</v>
      </c>
      <c r="AS1901">
        <v>452</v>
      </c>
      <c r="AT1901" s="4">
        <v>42781</v>
      </c>
      <c r="AU1901" t="s">
        <v>73</v>
      </c>
      <c r="AV1901">
        <v>452</v>
      </c>
      <c r="AW1901" s="4">
        <v>42781</v>
      </c>
      <c r="BD1901">
        <v>0</v>
      </c>
      <c r="BN1901" t="s">
        <v>74</v>
      </c>
    </row>
    <row r="1902" spans="1:66">
      <c r="A1902">
        <v>104243</v>
      </c>
      <c r="B1902" t="s">
        <v>392</v>
      </c>
      <c r="C1902" s="1">
        <v>43300101</v>
      </c>
      <c r="D1902" t="s">
        <v>67</v>
      </c>
      <c r="H1902" t="str">
        <f t="shared" si="239"/>
        <v>12300580151</v>
      </c>
      <c r="I1902" t="str">
        <f t="shared" si="240"/>
        <v>02426070120</v>
      </c>
      <c r="K1902" t="str">
        <f>""</f>
        <v/>
      </c>
      <c r="M1902" t="s">
        <v>68</v>
      </c>
      <c r="N1902" t="str">
        <f t="shared" si="237"/>
        <v>FOR</v>
      </c>
      <c r="O1902" t="s">
        <v>69</v>
      </c>
      <c r="P1902" t="s">
        <v>75</v>
      </c>
      <c r="Q1902">
        <v>2016</v>
      </c>
      <c r="R1902" s="4">
        <v>42472</v>
      </c>
      <c r="S1902" s="2">
        <v>42472</v>
      </c>
      <c r="T1902" s="2">
        <v>42472</v>
      </c>
      <c r="U1902" s="4">
        <v>42532</v>
      </c>
      <c r="V1902" t="s">
        <v>71</v>
      </c>
      <c r="W1902" t="str">
        <f>"            90006882"</f>
        <v xml:space="preserve">            90006882</v>
      </c>
      <c r="X1902">
        <v>863.76</v>
      </c>
      <c r="Y1902">
        <v>0</v>
      </c>
      <c r="Z1902" s="5">
        <v>708</v>
      </c>
      <c r="AA1902" s="3">
        <v>249</v>
      </c>
      <c r="AB1902" s="5">
        <v>176292</v>
      </c>
      <c r="AC1902">
        <v>708</v>
      </c>
      <c r="AD1902">
        <v>249</v>
      </c>
      <c r="AE1902" s="1">
        <v>176292</v>
      </c>
      <c r="AF1902">
        <v>0</v>
      </c>
      <c r="AJ1902">
        <v>0</v>
      </c>
      <c r="AK1902">
        <v>0</v>
      </c>
      <c r="AL1902">
        <v>0</v>
      </c>
      <c r="AM1902">
        <v>0</v>
      </c>
      <c r="AN1902">
        <v>0</v>
      </c>
      <c r="AO1902">
        <v>0</v>
      </c>
      <c r="AP1902" s="2">
        <v>42831</v>
      </c>
      <c r="AQ1902" t="s">
        <v>72</v>
      </c>
      <c r="AR1902" t="s">
        <v>72</v>
      </c>
      <c r="AS1902">
        <v>452</v>
      </c>
      <c r="AT1902" s="4">
        <v>42781</v>
      </c>
      <c r="AU1902" t="s">
        <v>73</v>
      </c>
      <c r="AV1902">
        <v>452</v>
      </c>
      <c r="AW1902" s="4">
        <v>42781</v>
      </c>
      <c r="BD1902">
        <v>0</v>
      </c>
      <c r="BN1902" t="s">
        <v>74</v>
      </c>
    </row>
    <row r="1903" spans="1:66">
      <c r="A1903">
        <v>104243</v>
      </c>
      <c r="B1903" t="s">
        <v>392</v>
      </c>
      <c r="C1903" s="1">
        <v>43300101</v>
      </c>
      <c r="D1903" t="s">
        <v>67</v>
      </c>
      <c r="H1903" t="str">
        <f t="shared" si="239"/>
        <v>12300580151</v>
      </c>
      <c r="I1903" t="str">
        <f t="shared" si="240"/>
        <v>02426070120</v>
      </c>
      <c r="K1903" t="str">
        <f>""</f>
        <v/>
      </c>
      <c r="M1903" t="s">
        <v>68</v>
      </c>
      <c r="N1903" t="str">
        <f t="shared" si="237"/>
        <v>FOR</v>
      </c>
      <c r="O1903" t="s">
        <v>69</v>
      </c>
      <c r="P1903" t="s">
        <v>75</v>
      </c>
      <c r="Q1903">
        <v>2016</v>
      </c>
      <c r="R1903" s="4">
        <v>42474</v>
      </c>
      <c r="S1903" s="2">
        <v>42478</v>
      </c>
      <c r="T1903" s="2">
        <v>42474</v>
      </c>
      <c r="U1903" s="4">
        <v>42534</v>
      </c>
      <c r="V1903" t="s">
        <v>71</v>
      </c>
      <c r="W1903" t="str">
        <f>"            90007072"</f>
        <v xml:space="preserve">            90007072</v>
      </c>
      <c r="X1903">
        <v>936.96</v>
      </c>
      <c r="Y1903">
        <v>0</v>
      </c>
      <c r="Z1903" s="5">
        <v>768</v>
      </c>
      <c r="AA1903" s="3">
        <v>247</v>
      </c>
      <c r="AB1903" s="5">
        <v>189696</v>
      </c>
      <c r="AC1903">
        <v>768</v>
      </c>
      <c r="AD1903">
        <v>247</v>
      </c>
      <c r="AE1903" s="1">
        <v>189696</v>
      </c>
      <c r="AF1903">
        <v>0</v>
      </c>
      <c r="AJ1903">
        <v>0</v>
      </c>
      <c r="AK1903">
        <v>0</v>
      </c>
      <c r="AL1903">
        <v>0</v>
      </c>
      <c r="AM1903">
        <v>0</v>
      </c>
      <c r="AN1903">
        <v>0</v>
      </c>
      <c r="AO1903">
        <v>0</v>
      </c>
      <c r="AP1903" s="2">
        <v>42831</v>
      </c>
      <c r="AQ1903" t="s">
        <v>72</v>
      </c>
      <c r="AR1903" t="s">
        <v>72</v>
      </c>
      <c r="AS1903">
        <v>452</v>
      </c>
      <c r="AT1903" s="4">
        <v>42781</v>
      </c>
      <c r="AU1903" t="s">
        <v>73</v>
      </c>
      <c r="AV1903">
        <v>452</v>
      </c>
      <c r="AW1903" s="4">
        <v>42781</v>
      </c>
      <c r="BD1903">
        <v>0</v>
      </c>
      <c r="BN1903" t="s">
        <v>74</v>
      </c>
    </row>
    <row r="1904" spans="1:66">
      <c r="A1904">
        <v>104243</v>
      </c>
      <c r="B1904" t="s">
        <v>392</v>
      </c>
      <c r="C1904" s="1">
        <v>43300101</v>
      </c>
      <c r="D1904" t="s">
        <v>67</v>
      </c>
      <c r="H1904" t="str">
        <f t="shared" si="239"/>
        <v>12300580151</v>
      </c>
      <c r="I1904" t="str">
        <f t="shared" si="240"/>
        <v>02426070120</v>
      </c>
      <c r="K1904" t="str">
        <f>""</f>
        <v/>
      </c>
      <c r="M1904" t="s">
        <v>68</v>
      </c>
      <c r="N1904" t="str">
        <f t="shared" si="237"/>
        <v>FOR</v>
      </c>
      <c r="O1904" t="s">
        <v>69</v>
      </c>
      <c r="P1904" t="s">
        <v>75</v>
      </c>
      <c r="Q1904">
        <v>2016</v>
      </c>
      <c r="R1904" s="4">
        <v>42479</v>
      </c>
      <c r="S1904" s="2">
        <v>42481</v>
      </c>
      <c r="T1904" s="2">
        <v>42479</v>
      </c>
      <c r="U1904" s="4">
        <v>42539</v>
      </c>
      <c r="V1904" t="s">
        <v>71</v>
      </c>
      <c r="W1904" t="str">
        <f>"            90007299"</f>
        <v xml:space="preserve">            90007299</v>
      </c>
      <c r="X1904">
        <v>739.32</v>
      </c>
      <c r="Y1904">
        <v>0</v>
      </c>
      <c r="Z1904" s="5">
        <v>606</v>
      </c>
      <c r="AA1904" s="3">
        <v>242</v>
      </c>
      <c r="AB1904" s="5">
        <v>146652</v>
      </c>
      <c r="AC1904">
        <v>606</v>
      </c>
      <c r="AD1904">
        <v>242</v>
      </c>
      <c r="AE1904" s="1">
        <v>146652</v>
      </c>
      <c r="AF1904">
        <v>0</v>
      </c>
      <c r="AJ1904">
        <v>0</v>
      </c>
      <c r="AK1904">
        <v>0</v>
      </c>
      <c r="AL1904">
        <v>0</v>
      </c>
      <c r="AM1904">
        <v>0</v>
      </c>
      <c r="AN1904">
        <v>0</v>
      </c>
      <c r="AO1904">
        <v>0</v>
      </c>
      <c r="AP1904" s="2">
        <v>42831</v>
      </c>
      <c r="AQ1904" t="s">
        <v>72</v>
      </c>
      <c r="AR1904" t="s">
        <v>72</v>
      </c>
      <c r="AS1904">
        <v>452</v>
      </c>
      <c r="AT1904" s="4">
        <v>42781</v>
      </c>
      <c r="AU1904" t="s">
        <v>73</v>
      </c>
      <c r="AV1904">
        <v>452</v>
      </c>
      <c r="AW1904" s="4">
        <v>42781</v>
      </c>
      <c r="BD1904">
        <v>0</v>
      </c>
      <c r="BN1904" t="s">
        <v>74</v>
      </c>
    </row>
    <row r="1905" spans="1:66">
      <c r="A1905">
        <v>104243</v>
      </c>
      <c r="B1905" t="s">
        <v>392</v>
      </c>
      <c r="C1905" s="1">
        <v>43300101</v>
      </c>
      <c r="D1905" t="s">
        <v>67</v>
      </c>
      <c r="H1905" t="str">
        <f t="shared" si="239"/>
        <v>12300580151</v>
      </c>
      <c r="I1905" t="str">
        <f t="shared" si="240"/>
        <v>02426070120</v>
      </c>
      <c r="K1905" t="str">
        <f>""</f>
        <v/>
      </c>
      <c r="M1905" t="s">
        <v>68</v>
      </c>
      <c r="N1905" t="str">
        <f t="shared" si="237"/>
        <v>FOR</v>
      </c>
      <c r="O1905" t="s">
        <v>69</v>
      </c>
      <c r="P1905" t="s">
        <v>75</v>
      </c>
      <c r="Q1905">
        <v>2016</v>
      </c>
      <c r="R1905" s="4">
        <v>42480</v>
      </c>
      <c r="S1905" s="2">
        <v>42481</v>
      </c>
      <c r="T1905" s="2">
        <v>42480</v>
      </c>
      <c r="U1905" s="4">
        <v>42540</v>
      </c>
      <c r="V1905" t="s">
        <v>71</v>
      </c>
      <c r="W1905" t="str">
        <f>"            90007383"</f>
        <v xml:space="preserve">            90007383</v>
      </c>
      <c r="X1905">
        <v>546.55999999999995</v>
      </c>
      <c r="Y1905">
        <v>0</v>
      </c>
      <c r="Z1905" s="5">
        <v>448</v>
      </c>
      <c r="AA1905" s="3">
        <v>241</v>
      </c>
      <c r="AB1905" s="5">
        <v>107968</v>
      </c>
      <c r="AC1905">
        <v>448</v>
      </c>
      <c r="AD1905">
        <v>241</v>
      </c>
      <c r="AE1905" s="1">
        <v>107968</v>
      </c>
      <c r="AF1905">
        <v>0</v>
      </c>
      <c r="AJ1905">
        <v>0</v>
      </c>
      <c r="AK1905">
        <v>0</v>
      </c>
      <c r="AL1905">
        <v>0</v>
      </c>
      <c r="AM1905">
        <v>0</v>
      </c>
      <c r="AN1905">
        <v>0</v>
      </c>
      <c r="AO1905">
        <v>0</v>
      </c>
      <c r="AP1905" s="2">
        <v>42831</v>
      </c>
      <c r="AQ1905" t="s">
        <v>72</v>
      </c>
      <c r="AR1905" t="s">
        <v>72</v>
      </c>
      <c r="AS1905">
        <v>452</v>
      </c>
      <c r="AT1905" s="4">
        <v>42781</v>
      </c>
      <c r="AU1905" t="s">
        <v>73</v>
      </c>
      <c r="AV1905">
        <v>452</v>
      </c>
      <c r="AW1905" s="4">
        <v>42781</v>
      </c>
      <c r="BD1905">
        <v>0</v>
      </c>
      <c r="BN1905" t="s">
        <v>74</v>
      </c>
    </row>
    <row r="1906" spans="1:66">
      <c r="A1906">
        <v>104243</v>
      </c>
      <c r="B1906" t="s">
        <v>392</v>
      </c>
      <c r="C1906" s="1">
        <v>43300101</v>
      </c>
      <c r="D1906" t="s">
        <v>67</v>
      </c>
      <c r="H1906" t="str">
        <f t="shared" si="239"/>
        <v>12300580151</v>
      </c>
      <c r="I1906" t="str">
        <f t="shared" si="240"/>
        <v>02426070120</v>
      </c>
      <c r="K1906" t="str">
        <f>""</f>
        <v/>
      </c>
      <c r="M1906" t="s">
        <v>68</v>
      </c>
      <c r="N1906" t="str">
        <f t="shared" si="237"/>
        <v>FOR</v>
      </c>
      <c r="O1906" t="s">
        <v>69</v>
      </c>
      <c r="P1906" t="s">
        <v>75</v>
      </c>
      <c r="Q1906">
        <v>2016</v>
      </c>
      <c r="R1906" s="4">
        <v>42483</v>
      </c>
      <c r="S1906" s="2">
        <v>42488</v>
      </c>
      <c r="T1906" s="2">
        <v>42486</v>
      </c>
      <c r="U1906" s="4">
        <v>42546</v>
      </c>
      <c r="V1906" t="s">
        <v>71</v>
      </c>
      <c r="W1906" t="str">
        <f>"            90007653"</f>
        <v xml:space="preserve">            90007653</v>
      </c>
      <c r="X1906">
        <v>702.72</v>
      </c>
      <c r="Y1906">
        <v>0</v>
      </c>
      <c r="Z1906" s="5">
        <v>576</v>
      </c>
      <c r="AA1906" s="3">
        <v>235</v>
      </c>
      <c r="AB1906" s="5">
        <v>135360</v>
      </c>
      <c r="AC1906">
        <v>576</v>
      </c>
      <c r="AD1906">
        <v>235</v>
      </c>
      <c r="AE1906" s="1">
        <v>135360</v>
      </c>
      <c r="AF1906">
        <v>0</v>
      </c>
      <c r="AJ1906">
        <v>0</v>
      </c>
      <c r="AK1906">
        <v>0</v>
      </c>
      <c r="AL1906">
        <v>0</v>
      </c>
      <c r="AM1906">
        <v>0</v>
      </c>
      <c r="AN1906">
        <v>0</v>
      </c>
      <c r="AO1906">
        <v>0</v>
      </c>
      <c r="AP1906" s="2">
        <v>42831</v>
      </c>
      <c r="AQ1906" t="s">
        <v>72</v>
      </c>
      <c r="AR1906" t="s">
        <v>72</v>
      </c>
      <c r="AS1906">
        <v>452</v>
      </c>
      <c r="AT1906" s="4">
        <v>42781</v>
      </c>
      <c r="AU1906" t="s">
        <v>73</v>
      </c>
      <c r="AV1906">
        <v>452</v>
      </c>
      <c r="AW1906" s="4">
        <v>42781</v>
      </c>
      <c r="BD1906">
        <v>0</v>
      </c>
      <c r="BN1906" t="s">
        <v>74</v>
      </c>
    </row>
    <row r="1907" spans="1:66">
      <c r="A1907">
        <v>104243</v>
      </c>
      <c r="B1907" t="s">
        <v>392</v>
      </c>
      <c r="C1907" s="1">
        <v>43300101</v>
      </c>
      <c r="D1907" t="s">
        <v>67</v>
      </c>
      <c r="H1907" t="str">
        <f t="shared" si="239"/>
        <v>12300580151</v>
      </c>
      <c r="I1907" t="str">
        <f t="shared" si="240"/>
        <v>02426070120</v>
      </c>
      <c r="K1907" t="str">
        <f>""</f>
        <v/>
      </c>
      <c r="M1907" t="s">
        <v>68</v>
      </c>
      <c r="N1907" t="str">
        <f t="shared" si="237"/>
        <v>FOR</v>
      </c>
      <c r="O1907" t="s">
        <v>69</v>
      </c>
      <c r="P1907" t="s">
        <v>75</v>
      </c>
      <c r="Q1907">
        <v>2016</v>
      </c>
      <c r="R1907" s="4">
        <v>42500</v>
      </c>
      <c r="S1907" s="2">
        <v>42501</v>
      </c>
      <c r="T1907" s="2">
        <v>42500</v>
      </c>
      <c r="U1907" s="4">
        <v>42560</v>
      </c>
      <c r="V1907" t="s">
        <v>71</v>
      </c>
      <c r="W1907" t="str">
        <f>"            90008737"</f>
        <v xml:space="preserve">            90008737</v>
      </c>
      <c r="X1907" s="1">
        <v>2732.8</v>
      </c>
      <c r="Y1907">
        <v>0</v>
      </c>
      <c r="Z1907" s="5">
        <v>2240</v>
      </c>
      <c r="AA1907" s="3">
        <v>235</v>
      </c>
      <c r="AB1907" s="5">
        <v>526400</v>
      </c>
      <c r="AC1907" s="1">
        <v>2240</v>
      </c>
      <c r="AD1907">
        <v>235</v>
      </c>
      <c r="AE1907" s="1">
        <v>526400</v>
      </c>
      <c r="AF1907">
        <v>492.8</v>
      </c>
      <c r="AJ1907">
        <v>0</v>
      </c>
      <c r="AK1907">
        <v>0</v>
      </c>
      <c r="AL1907">
        <v>0</v>
      </c>
      <c r="AM1907">
        <v>0</v>
      </c>
      <c r="AN1907">
        <v>0</v>
      </c>
      <c r="AO1907">
        <v>0</v>
      </c>
      <c r="AP1907" s="2">
        <v>42831</v>
      </c>
      <c r="AQ1907" t="s">
        <v>72</v>
      </c>
      <c r="AR1907" t="s">
        <v>72</v>
      </c>
      <c r="AS1907">
        <v>644</v>
      </c>
      <c r="AT1907" s="4">
        <v>42795</v>
      </c>
      <c r="AU1907" t="s">
        <v>73</v>
      </c>
      <c r="AV1907">
        <v>644</v>
      </c>
      <c r="AW1907" s="4">
        <v>42795</v>
      </c>
      <c r="BD1907">
        <v>492.8</v>
      </c>
      <c r="BN1907" t="s">
        <v>74</v>
      </c>
    </row>
    <row r="1908" spans="1:66">
      <c r="A1908">
        <v>104243</v>
      </c>
      <c r="B1908" t="s">
        <v>392</v>
      </c>
      <c r="C1908" s="1">
        <v>43300101</v>
      </c>
      <c r="D1908" t="s">
        <v>67</v>
      </c>
      <c r="H1908" t="str">
        <f t="shared" si="239"/>
        <v>12300580151</v>
      </c>
      <c r="I1908" t="str">
        <f t="shared" si="240"/>
        <v>02426070120</v>
      </c>
      <c r="K1908" t="str">
        <f>""</f>
        <v/>
      </c>
      <c r="M1908" t="s">
        <v>68</v>
      </c>
      <c r="N1908" t="str">
        <f t="shared" si="237"/>
        <v>FOR</v>
      </c>
      <c r="O1908" t="s">
        <v>69</v>
      </c>
      <c r="P1908" t="s">
        <v>75</v>
      </c>
      <c r="Q1908">
        <v>2016</v>
      </c>
      <c r="R1908" s="4">
        <v>42500</v>
      </c>
      <c r="S1908" s="2">
        <v>42501</v>
      </c>
      <c r="T1908" s="2">
        <v>42500</v>
      </c>
      <c r="U1908" s="4">
        <v>42560</v>
      </c>
      <c r="V1908" t="s">
        <v>71</v>
      </c>
      <c r="W1908" t="str">
        <f>"            90008738"</f>
        <v xml:space="preserve">            90008738</v>
      </c>
      <c r="X1908" s="1">
        <v>3503.35</v>
      </c>
      <c r="Y1908">
        <v>0</v>
      </c>
      <c r="Z1908" s="5">
        <v>2871.6</v>
      </c>
      <c r="AA1908" s="3">
        <v>235</v>
      </c>
      <c r="AB1908" s="5">
        <v>674826</v>
      </c>
      <c r="AC1908" s="1">
        <v>2871.6</v>
      </c>
      <c r="AD1908">
        <v>235</v>
      </c>
      <c r="AE1908" s="1">
        <v>674826</v>
      </c>
      <c r="AF1908">
        <v>631.75</v>
      </c>
      <c r="AJ1908">
        <v>0</v>
      </c>
      <c r="AK1908">
        <v>0</v>
      </c>
      <c r="AL1908">
        <v>0</v>
      </c>
      <c r="AM1908">
        <v>0</v>
      </c>
      <c r="AN1908">
        <v>0</v>
      </c>
      <c r="AO1908">
        <v>0</v>
      </c>
      <c r="AP1908" s="2">
        <v>42831</v>
      </c>
      <c r="AQ1908" t="s">
        <v>72</v>
      </c>
      <c r="AR1908" t="s">
        <v>72</v>
      </c>
      <c r="AS1908">
        <v>644</v>
      </c>
      <c r="AT1908" s="4">
        <v>42795</v>
      </c>
      <c r="AU1908" t="s">
        <v>73</v>
      </c>
      <c r="AV1908">
        <v>644</v>
      </c>
      <c r="AW1908" s="4">
        <v>42795</v>
      </c>
      <c r="BD1908">
        <v>631.75</v>
      </c>
      <c r="BN1908" t="s">
        <v>74</v>
      </c>
    </row>
    <row r="1909" spans="1:66">
      <c r="A1909">
        <v>104243</v>
      </c>
      <c r="B1909" t="s">
        <v>392</v>
      </c>
      <c r="C1909" s="1">
        <v>43300101</v>
      </c>
      <c r="D1909" t="s">
        <v>67</v>
      </c>
      <c r="H1909" t="str">
        <f t="shared" si="239"/>
        <v>12300580151</v>
      </c>
      <c r="I1909" t="str">
        <f t="shared" si="240"/>
        <v>02426070120</v>
      </c>
      <c r="K1909" t="str">
        <f>""</f>
        <v/>
      </c>
      <c r="M1909" t="s">
        <v>68</v>
      </c>
      <c r="N1909" t="str">
        <f t="shared" si="237"/>
        <v>FOR</v>
      </c>
      <c r="O1909" t="s">
        <v>69</v>
      </c>
      <c r="P1909" t="s">
        <v>75</v>
      </c>
      <c r="Q1909">
        <v>2016</v>
      </c>
      <c r="R1909" s="4">
        <v>42500</v>
      </c>
      <c r="S1909" s="2">
        <v>42501</v>
      </c>
      <c r="T1909" s="2">
        <v>42500</v>
      </c>
      <c r="U1909" s="4">
        <v>42560</v>
      </c>
      <c r="V1909" t="s">
        <v>71</v>
      </c>
      <c r="W1909" t="str">
        <f>"            90008739"</f>
        <v xml:space="preserve">            90008739</v>
      </c>
      <c r="X1909" s="1">
        <v>1526.95</v>
      </c>
      <c r="Y1909">
        <v>0</v>
      </c>
      <c r="Z1909" s="5">
        <v>1251.5999999999999</v>
      </c>
      <c r="AA1909" s="3">
        <v>235</v>
      </c>
      <c r="AB1909" s="5">
        <v>294126</v>
      </c>
      <c r="AC1909" s="1">
        <v>1251.5999999999999</v>
      </c>
      <c r="AD1909">
        <v>235</v>
      </c>
      <c r="AE1909" s="1">
        <v>294126</v>
      </c>
      <c r="AF1909">
        <v>275.35000000000002</v>
      </c>
      <c r="AJ1909">
        <v>0</v>
      </c>
      <c r="AK1909">
        <v>0</v>
      </c>
      <c r="AL1909">
        <v>0</v>
      </c>
      <c r="AM1909">
        <v>0</v>
      </c>
      <c r="AN1909">
        <v>0</v>
      </c>
      <c r="AO1909">
        <v>0</v>
      </c>
      <c r="AP1909" s="2">
        <v>42831</v>
      </c>
      <c r="AQ1909" t="s">
        <v>72</v>
      </c>
      <c r="AR1909" t="s">
        <v>72</v>
      </c>
      <c r="AS1909">
        <v>644</v>
      </c>
      <c r="AT1909" s="4">
        <v>42795</v>
      </c>
      <c r="AU1909" t="s">
        <v>73</v>
      </c>
      <c r="AV1909">
        <v>644</v>
      </c>
      <c r="AW1909" s="4">
        <v>42795</v>
      </c>
      <c r="BD1909">
        <v>275.35000000000002</v>
      </c>
      <c r="BN1909" t="s">
        <v>74</v>
      </c>
    </row>
    <row r="1910" spans="1:66">
      <c r="A1910">
        <v>104243</v>
      </c>
      <c r="B1910" t="s">
        <v>392</v>
      </c>
      <c r="C1910" s="1">
        <v>43300101</v>
      </c>
      <c r="D1910" t="s">
        <v>67</v>
      </c>
      <c r="H1910" t="str">
        <f t="shared" si="239"/>
        <v>12300580151</v>
      </c>
      <c r="I1910" t="str">
        <f t="shared" si="240"/>
        <v>02426070120</v>
      </c>
      <c r="K1910" t="str">
        <f>""</f>
        <v/>
      </c>
      <c r="M1910" t="s">
        <v>68</v>
      </c>
      <c r="N1910" t="str">
        <f t="shared" si="237"/>
        <v>FOR</v>
      </c>
      <c r="O1910" t="s">
        <v>69</v>
      </c>
      <c r="P1910" t="s">
        <v>75</v>
      </c>
      <c r="Q1910">
        <v>2016</v>
      </c>
      <c r="R1910" s="4">
        <v>42502</v>
      </c>
      <c r="S1910" s="2">
        <v>42506</v>
      </c>
      <c r="T1910" s="2">
        <v>42502</v>
      </c>
      <c r="U1910" s="4">
        <v>42562</v>
      </c>
      <c r="V1910" t="s">
        <v>71</v>
      </c>
      <c r="W1910" t="str">
        <f>"            90008877"</f>
        <v xml:space="preserve">            90008877</v>
      </c>
      <c r="X1910" s="1">
        <v>1232.2</v>
      </c>
      <c r="Y1910">
        <v>0</v>
      </c>
      <c r="Z1910" s="5">
        <v>1010</v>
      </c>
      <c r="AA1910" s="3">
        <v>233</v>
      </c>
      <c r="AB1910" s="5">
        <v>235330</v>
      </c>
      <c r="AC1910" s="1">
        <v>1010</v>
      </c>
      <c r="AD1910">
        <v>233</v>
      </c>
      <c r="AE1910" s="1">
        <v>235330</v>
      </c>
      <c r="AF1910">
        <v>222.2</v>
      </c>
      <c r="AJ1910">
        <v>0</v>
      </c>
      <c r="AK1910">
        <v>0</v>
      </c>
      <c r="AL1910">
        <v>0</v>
      </c>
      <c r="AM1910">
        <v>0</v>
      </c>
      <c r="AN1910">
        <v>0</v>
      </c>
      <c r="AO1910">
        <v>0</v>
      </c>
      <c r="AP1910" s="2">
        <v>42831</v>
      </c>
      <c r="AQ1910" t="s">
        <v>72</v>
      </c>
      <c r="AR1910" t="s">
        <v>72</v>
      </c>
      <c r="AS1910">
        <v>644</v>
      </c>
      <c r="AT1910" s="4">
        <v>42795</v>
      </c>
      <c r="AU1910" t="s">
        <v>73</v>
      </c>
      <c r="AV1910">
        <v>644</v>
      </c>
      <c r="AW1910" s="4">
        <v>42795</v>
      </c>
      <c r="BD1910">
        <v>222.2</v>
      </c>
      <c r="BN1910" t="s">
        <v>74</v>
      </c>
    </row>
    <row r="1911" spans="1:66">
      <c r="A1911">
        <v>104243</v>
      </c>
      <c r="B1911" t="s">
        <v>392</v>
      </c>
      <c r="C1911" s="1">
        <v>43300101</v>
      </c>
      <c r="D1911" t="s">
        <v>67</v>
      </c>
      <c r="H1911" t="str">
        <f t="shared" si="239"/>
        <v>12300580151</v>
      </c>
      <c r="I1911" t="str">
        <f t="shared" si="240"/>
        <v>02426070120</v>
      </c>
      <c r="K1911" t="str">
        <f>""</f>
        <v/>
      </c>
      <c r="M1911" t="s">
        <v>68</v>
      </c>
      <c r="N1911" t="str">
        <f t="shared" si="237"/>
        <v>FOR</v>
      </c>
      <c r="O1911" t="s">
        <v>69</v>
      </c>
      <c r="P1911" t="s">
        <v>75</v>
      </c>
      <c r="Q1911">
        <v>2016</v>
      </c>
      <c r="R1911" s="4">
        <v>42509</v>
      </c>
      <c r="S1911" s="2">
        <v>42516</v>
      </c>
      <c r="T1911" s="2">
        <v>42509</v>
      </c>
      <c r="U1911" s="4">
        <v>42569</v>
      </c>
      <c r="V1911" t="s">
        <v>71</v>
      </c>
      <c r="W1911" t="str">
        <f>"            90009301"</f>
        <v xml:space="preserve">            90009301</v>
      </c>
      <c r="X1911">
        <v>702.72</v>
      </c>
      <c r="Y1911">
        <v>0</v>
      </c>
      <c r="Z1911" s="5">
        <v>576</v>
      </c>
      <c r="AA1911" s="3">
        <v>226</v>
      </c>
      <c r="AB1911" s="5">
        <v>130176</v>
      </c>
      <c r="AC1911">
        <v>576</v>
      </c>
      <c r="AD1911">
        <v>226</v>
      </c>
      <c r="AE1911" s="1">
        <v>130176</v>
      </c>
      <c r="AF1911">
        <v>126.72</v>
      </c>
      <c r="AJ1911">
        <v>0</v>
      </c>
      <c r="AK1911">
        <v>0</v>
      </c>
      <c r="AL1911">
        <v>0</v>
      </c>
      <c r="AM1911">
        <v>0</v>
      </c>
      <c r="AN1911">
        <v>0</v>
      </c>
      <c r="AO1911">
        <v>0</v>
      </c>
      <c r="AP1911" s="2">
        <v>42831</v>
      </c>
      <c r="AQ1911" t="s">
        <v>72</v>
      </c>
      <c r="AR1911" t="s">
        <v>72</v>
      </c>
      <c r="AS1911">
        <v>644</v>
      </c>
      <c r="AT1911" s="4">
        <v>42795</v>
      </c>
      <c r="AU1911" t="s">
        <v>73</v>
      </c>
      <c r="AV1911">
        <v>644</v>
      </c>
      <c r="AW1911" s="4">
        <v>42795</v>
      </c>
      <c r="BD1911">
        <v>126.72</v>
      </c>
      <c r="BN1911" t="s">
        <v>74</v>
      </c>
    </row>
    <row r="1912" spans="1:66">
      <c r="A1912">
        <v>104243</v>
      </c>
      <c r="B1912" t="s">
        <v>392</v>
      </c>
      <c r="C1912" s="1">
        <v>43300101</v>
      </c>
      <c r="D1912" t="s">
        <v>67</v>
      </c>
      <c r="H1912" t="str">
        <f t="shared" si="239"/>
        <v>12300580151</v>
      </c>
      <c r="I1912" t="str">
        <f t="shared" si="240"/>
        <v>02426070120</v>
      </c>
      <c r="K1912" t="str">
        <f>""</f>
        <v/>
      </c>
      <c r="M1912" t="s">
        <v>68</v>
      </c>
      <c r="N1912" t="str">
        <f t="shared" si="237"/>
        <v>FOR</v>
      </c>
      <c r="O1912" t="s">
        <v>69</v>
      </c>
      <c r="P1912" t="s">
        <v>75</v>
      </c>
      <c r="Q1912">
        <v>2016</v>
      </c>
      <c r="R1912" s="4">
        <v>42516</v>
      </c>
      <c r="S1912" s="2">
        <v>42522</v>
      </c>
      <c r="T1912" s="2">
        <v>42517</v>
      </c>
      <c r="U1912" s="4">
        <v>42577</v>
      </c>
      <c r="V1912" t="s">
        <v>71</v>
      </c>
      <c r="W1912" t="str">
        <f>"            90009773"</f>
        <v xml:space="preserve">            90009773</v>
      </c>
      <c r="X1912">
        <v>995.52</v>
      </c>
      <c r="Y1912">
        <v>0</v>
      </c>
      <c r="Z1912" s="5">
        <v>816</v>
      </c>
      <c r="AA1912" s="3">
        <v>218</v>
      </c>
      <c r="AB1912" s="5">
        <v>177888</v>
      </c>
      <c r="AC1912">
        <v>816</v>
      </c>
      <c r="AD1912">
        <v>218</v>
      </c>
      <c r="AE1912" s="1">
        <v>177888</v>
      </c>
      <c r="AF1912">
        <v>179.52</v>
      </c>
      <c r="AJ1912">
        <v>0</v>
      </c>
      <c r="AK1912">
        <v>0</v>
      </c>
      <c r="AL1912">
        <v>0</v>
      </c>
      <c r="AM1912">
        <v>0</v>
      </c>
      <c r="AN1912">
        <v>0</v>
      </c>
      <c r="AO1912">
        <v>0</v>
      </c>
      <c r="AP1912" s="2">
        <v>42831</v>
      </c>
      <c r="AQ1912" t="s">
        <v>72</v>
      </c>
      <c r="AR1912" t="s">
        <v>72</v>
      </c>
      <c r="AS1912">
        <v>644</v>
      </c>
      <c r="AT1912" s="4">
        <v>42795</v>
      </c>
      <c r="AU1912" t="s">
        <v>73</v>
      </c>
      <c r="AV1912">
        <v>644</v>
      </c>
      <c r="AW1912" s="4">
        <v>42795</v>
      </c>
      <c r="BD1912">
        <v>179.52</v>
      </c>
      <c r="BN1912" t="s">
        <v>74</v>
      </c>
    </row>
    <row r="1913" spans="1:66">
      <c r="A1913">
        <v>104248</v>
      </c>
      <c r="B1913" t="s">
        <v>393</v>
      </c>
      <c r="C1913" s="1">
        <v>43500101</v>
      </c>
      <c r="D1913" t="s">
        <v>98</v>
      </c>
      <c r="H1913" t="str">
        <f>"01227960620"</f>
        <v>01227960620</v>
      </c>
      <c r="I1913" t="str">
        <f>"01227960620"</f>
        <v>01227960620</v>
      </c>
      <c r="K1913" t="str">
        <f>""</f>
        <v/>
      </c>
      <c r="M1913" t="s">
        <v>68</v>
      </c>
      <c r="N1913" t="str">
        <f>"ALTPRO"</f>
        <v>ALTPRO</v>
      </c>
      <c r="O1913" t="s">
        <v>116</v>
      </c>
      <c r="P1913" t="s">
        <v>75</v>
      </c>
      <c r="Q1913">
        <v>2017</v>
      </c>
      <c r="R1913" s="4">
        <v>42761</v>
      </c>
      <c r="S1913" s="2">
        <v>42762</v>
      </c>
      <c r="T1913" s="2">
        <v>42761</v>
      </c>
      <c r="U1913" s="4">
        <v>42821</v>
      </c>
      <c r="V1913" t="s">
        <v>71</v>
      </c>
      <c r="W1913" t="str">
        <f>"                  01"</f>
        <v xml:space="preserve">                  01</v>
      </c>
      <c r="X1913" s="1">
        <v>5252.83</v>
      </c>
      <c r="Y1913">
        <v>-828</v>
      </c>
      <c r="Z1913" s="5">
        <v>4424.83</v>
      </c>
      <c r="AA1913" s="3">
        <v>-46</v>
      </c>
      <c r="AB1913" s="5">
        <v>-203542.18</v>
      </c>
      <c r="AC1913" s="1">
        <v>4424.83</v>
      </c>
      <c r="AD1913">
        <v>-46</v>
      </c>
      <c r="AE1913" s="1">
        <v>-203542.18</v>
      </c>
      <c r="AF1913">
        <v>0</v>
      </c>
      <c r="AJ1913" s="1">
        <v>4424.83</v>
      </c>
      <c r="AK1913" s="1">
        <v>4424.83</v>
      </c>
      <c r="AL1913" s="1">
        <v>4424.83</v>
      </c>
      <c r="AM1913" s="1">
        <v>4424.83</v>
      </c>
      <c r="AN1913" s="1">
        <v>4424.83</v>
      </c>
      <c r="AO1913" s="1">
        <v>4424.83</v>
      </c>
      <c r="AP1913" s="2">
        <v>42831</v>
      </c>
      <c r="AQ1913" t="s">
        <v>72</v>
      </c>
      <c r="AR1913" t="s">
        <v>72</v>
      </c>
      <c r="AS1913">
        <v>362</v>
      </c>
      <c r="AT1913" s="4">
        <v>42775</v>
      </c>
      <c r="AV1913">
        <v>362</v>
      </c>
      <c r="AW1913" s="4">
        <v>42775</v>
      </c>
      <c r="BD1913">
        <v>0</v>
      </c>
      <c r="BN1913" t="s">
        <v>74</v>
      </c>
    </row>
    <row r="1914" spans="1:66">
      <c r="A1914">
        <v>104284</v>
      </c>
      <c r="B1914" t="s">
        <v>394</v>
      </c>
      <c r="C1914" s="1">
        <v>43300101</v>
      </c>
      <c r="D1914" t="s">
        <v>67</v>
      </c>
      <c r="H1914" t="str">
        <f>"11264670156"</f>
        <v>11264670156</v>
      </c>
      <c r="I1914" t="str">
        <f>"11264670156"</f>
        <v>11264670156</v>
      </c>
      <c r="K1914" t="str">
        <f>""</f>
        <v/>
      </c>
      <c r="M1914" t="s">
        <v>68</v>
      </c>
      <c r="N1914" t="str">
        <f>"FOR"</f>
        <v>FOR</v>
      </c>
      <c r="O1914" t="s">
        <v>69</v>
      </c>
      <c r="P1914" t="s">
        <v>75</v>
      </c>
      <c r="Q1914">
        <v>2016</v>
      </c>
      <c r="R1914" s="4">
        <v>42529</v>
      </c>
      <c r="S1914" s="2">
        <v>42543</v>
      </c>
      <c r="T1914" s="2">
        <v>42535</v>
      </c>
      <c r="U1914" s="4">
        <v>42595</v>
      </c>
      <c r="V1914" t="s">
        <v>71</v>
      </c>
      <c r="W1914" t="str">
        <f>"     2016/7500017244"</f>
        <v xml:space="preserve">     2016/7500017244</v>
      </c>
      <c r="X1914" s="1">
        <v>5096</v>
      </c>
      <c r="Y1914">
        <v>0</v>
      </c>
      <c r="Z1914" s="5">
        <v>4900</v>
      </c>
      <c r="AA1914" s="3">
        <v>179</v>
      </c>
      <c r="AB1914" s="5">
        <v>877100</v>
      </c>
      <c r="AC1914" s="1">
        <v>4900</v>
      </c>
      <c r="AD1914">
        <v>179</v>
      </c>
      <c r="AE1914" s="1">
        <v>877100</v>
      </c>
      <c r="AF1914">
        <v>0</v>
      </c>
      <c r="AJ1914">
        <v>0</v>
      </c>
      <c r="AK1914">
        <v>0</v>
      </c>
      <c r="AL1914">
        <v>0</v>
      </c>
      <c r="AM1914">
        <v>0</v>
      </c>
      <c r="AN1914">
        <v>0</v>
      </c>
      <c r="AO1914">
        <v>0</v>
      </c>
      <c r="AP1914" s="2">
        <v>42831</v>
      </c>
      <c r="AQ1914" t="s">
        <v>72</v>
      </c>
      <c r="AR1914" t="s">
        <v>72</v>
      </c>
      <c r="AS1914">
        <v>339</v>
      </c>
      <c r="AT1914" s="4">
        <v>42774</v>
      </c>
      <c r="AU1914" t="s">
        <v>73</v>
      </c>
      <c r="AV1914">
        <v>339</v>
      </c>
      <c r="AW1914" s="4">
        <v>42774</v>
      </c>
      <c r="BD1914">
        <v>0</v>
      </c>
      <c r="BN1914" t="s">
        <v>74</v>
      </c>
    </row>
    <row r="1915" spans="1:66" hidden="1">
      <c r="A1915">
        <v>104291</v>
      </c>
      <c r="B1915" t="s">
        <v>395</v>
      </c>
      <c r="C1915" s="1">
        <v>43500101</v>
      </c>
      <c r="D1915" t="s">
        <v>98</v>
      </c>
      <c r="H1915" t="str">
        <f t="shared" ref="H1915:I1917" si="241">"05685311002"</f>
        <v>05685311002</v>
      </c>
      <c r="I1915" t="str">
        <f t="shared" si="241"/>
        <v>05685311002</v>
      </c>
      <c r="K1915" t="str">
        <f>""</f>
        <v/>
      </c>
      <c r="M1915" t="s">
        <v>68</v>
      </c>
      <c r="N1915" t="str">
        <f>"ALTFIN"</f>
        <v>ALTFIN</v>
      </c>
      <c r="O1915" t="s">
        <v>102</v>
      </c>
      <c r="P1915" t="s">
        <v>82</v>
      </c>
      <c r="Q1915">
        <v>2017</v>
      </c>
      <c r="R1915" s="4">
        <v>42755</v>
      </c>
      <c r="S1915" s="2">
        <v>42755</v>
      </c>
      <c r="T1915" s="2">
        <v>42755</v>
      </c>
      <c r="U1915" s="4">
        <v>42815</v>
      </c>
      <c r="V1915" t="s">
        <v>71</v>
      </c>
      <c r="W1915" t="str">
        <f>"                0120"</f>
        <v xml:space="preserve">                0120</v>
      </c>
      <c r="X1915">
        <v>0</v>
      </c>
      <c r="Y1915">
        <v>122.85</v>
      </c>
      <c r="Z1915" s="3">
        <v>122.85</v>
      </c>
      <c r="AA1915" s="3">
        <v>-57</v>
      </c>
      <c r="AB1915" s="5">
        <v>-7002.45</v>
      </c>
      <c r="AC1915">
        <v>122.85</v>
      </c>
      <c r="AD1915">
        <v>-57</v>
      </c>
      <c r="AE1915" s="1">
        <v>-7002.45</v>
      </c>
      <c r="AF1915">
        <v>0</v>
      </c>
      <c r="AJ1915">
        <v>122.85</v>
      </c>
      <c r="AK1915">
        <v>122.85</v>
      </c>
      <c r="AL1915">
        <v>122.85</v>
      </c>
      <c r="AM1915">
        <v>122.85</v>
      </c>
      <c r="AN1915">
        <v>122.85</v>
      </c>
      <c r="AO1915">
        <v>122.85</v>
      </c>
      <c r="AP1915" s="2">
        <v>42831</v>
      </c>
      <c r="AQ1915" t="s">
        <v>72</v>
      </c>
      <c r="AR1915" t="s">
        <v>72</v>
      </c>
      <c r="AS1915">
        <v>66</v>
      </c>
      <c r="AT1915" s="4">
        <v>42758</v>
      </c>
      <c r="AV1915">
        <v>66</v>
      </c>
      <c r="AW1915" s="4">
        <v>42758</v>
      </c>
      <c r="BD1915">
        <v>0</v>
      </c>
      <c r="BN1915" t="s">
        <v>74</v>
      </c>
    </row>
    <row r="1916" spans="1:66" hidden="1">
      <c r="A1916">
        <v>104291</v>
      </c>
      <c r="B1916" t="s">
        <v>395</v>
      </c>
      <c r="C1916" s="1">
        <v>43500101</v>
      </c>
      <c r="D1916" t="s">
        <v>98</v>
      </c>
      <c r="H1916" t="str">
        <f t="shared" si="241"/>
        <v>05685311002</v>
      </c>
      <c r="I1916" t="str">
        <f t="shared" si="241"/>
        <v>05685311002</v>
      </c>
      <c r="K1916" t="str">
        <f>""</f>
        <v/>
      </c>
      <c r="M1916" t="s">
        <v>68</v>
      </c>
      <c r="N1916" t="str">
        <f>"ALTFIN"</f>
        <v>ALTFIN</v>
      </c>
      <c r="O1916" t="s">
        <v>102</v>
      </c>
      <c r="P1916" t="s">
        <v>83</v>
      </c>
      <c r="Q1916">
        <v>2017</v>
      </c>
      <c r="R1916" s="4">
        <v>42786</v>
      </c>
      <c r="S1916" s="2">
        <v>42787</v>
      </c>
      <c r="T1916" s="2">
        <v>42787</v>
      </c>
      <c r="U1916" s="4">
        <v>42847</v>
      </c>
      <c r="V1916" t="s">
        <v>71</v>
      </c>
      <c r="W1916" t="str">
        <f>"                0220"</f>
        <v xml:space="preserve">                0220</v>
      </c>
      <c r="X1916">
        <v>0</v>
      </c>
      <c r="Y1916">
        <v>122.85</v>
      </c>
      <c r="Z1916" s="3">
        <v>122.85</v>
      </c>
      <c r="AA1916" s="3">
        <v>-60</v>
      </c>
      <c r="AB1916" s="5">
        <v>-7371</v>
      </c>
      <c r="AC1916">
        <v>122.85</v>
      </c>
      <c r="AD1916">
        <v>-60</v>
      </c>
      <c r="AE1916" s="1">
        <v>-7371</v>
      </c>
      <c r="AF1916">
        <v>0</v>
      </c>
      <c r="AJ1916">
        <v>122.85</v>
      </c>
      <c r="AK1916">
        <v>122.85</v>
      </c>
      <c r="AL1916">
        <v>122.85</v>
      </c>
      <c r="AM1916">
        <v>122.85</v>
      </c>
      <c r="AN1916">
        <v>122.85</v>
      </c>
      <c r="AO1916">
        <v>122.85</v>
      </c>
      <c r="AP1916" s="2">
        <v>42831</v>
      </c>
      <c r="AQ1916" t="s">
        <v>72</v>
      </c>
      <c r="AR1916" t="s">
        <v>72</v>
      </c>
      <c r="AS1916">
        <v>546</v>
      </c>
      <c r="AT1916" s="4">
        <v>42787</v>
      </c>
      <c r="AV1916">
        <v>546</v>
      </c>
      <c r="AW1916" s="4">
        <v>42787</v>
      </c>
      <c r="BD1916">
        <v>0</v>
      </c>
      <c r="BN1916" t="s">
        <v>74</v>
      </c>
    </row>
    <row r="1917" spans="1:66" hidden="1">
      <c r="A1917">
        <v>104291</v>
      </c>
      <c r="B1917" t="s">
        <v>395</v>
      </c>
      <c r="C1917" s="1">
        <v>43500101</v>
      </c>
      <c r="D1917" t="s">
        <v>98</v>
      </c>
      <c r="H1917" t="str">
        <f t="shared" si="241"/>
        <v>05685311002</v>
      </c>
      <c r="I1917" t="str">
        <f t="shared" si="241"/>
        <v>05685311002</v>
      </c>
      <c r="K1917" t="str">
        <f>""</f>
        <v/>
      </c>
      <c r="M1917" t="s">
        <v>68</v>
      </c>
      <c r="N1917" t="str">
        <f>"ALTFIN"</f>
        <v>ALTFIN</v>
      </c>
      <c r="O1917" t="s">
        <v>102</v>
      </c>
      <c r="P1917" t="s">
        <v>84</v>
      </c>
      <c r="Q1917">
        <v>2017</v>
      </c>
      <c r="R1917" s="4">
        <v>42815</v>
      </c>
      <c r="S1917" s="2">
        <v>42815</v>
      </c>
      <c r="T1917" s="2">
        <v>42815</v>
      </c>
      <c r="U1917" s="4">
        <v>42875</v>
      </c>
      <c r="V1917" t="s">
        <v>71</v>
      </c>
      <c r="W1917" t="str">
        <f>"                0321"</f>
        <v xml:space="preserve">                0321</v>
      </c>
      <c r="X1917">
        <v>0</v>
      </c>
      <c r="Y1917">
        <v>122.85</v>
      </c>
      <c r="Z1917" s="3">
        <v>122.85</v>
      </c>
      <c r="AA1917" s="3">
        <v>-60</v>
      </c>
      <c r="AB1917" s="5">
        <v>-7371</v>
      </c>
      <c r="AC1917">
        <v>122.85</v>
      </c>
      <c r="AD1917">
        <v>-60</v>
      </c>
      <c r="AE1917" s="1">
        <v>-7371</v>
      </c>
      <c r="AF1917">
        <v>0</v>
      </c>
      <c r="AJ1917">
        <v>122.85</v>
      </c>
      <c r="AK1917">
        <v>122.85</v>
      </c>
      <c r="AL1917">
        <v>122.85</v>
      </c>
      <c r="AM1917">
        <v>122.85</v>
      </c>
      <c r="AN1917">
        <v>122.85</v>
      </c>
      <c r="AO1917">
        <v>122.85</v>
      </c>
      <c r="AP1917" s="2">
        <v>42831</v>
      </c>
      <c r="AQ1917" t="s">
        <v>72</v>
      </c>
      <c r="AR1917" t="s">
        <v>72</v>
      </c>
      <c r="AS1917">
        <v>843</v>
      </c>
      <c r="AT1917" s="4">
        <v>42815</v>
      </c>
      <c r="AV1917">
        <v>843</v>
      </c>
      <c r="AW1917" s="4">
        <v>42815</v>
      </c>
      <c r="BD1917">
        <v>0</v>
      </c>
      <c r="BN1917" t="s">
        <v>74</v>
      </c>
    </row>
    <row r="1918" spans="1:66">
      <c r="A1918">
        <v>104296</v>
      </c>
      <c r="B1918" t="s">
        <v>396</v>
      </c>
      <c r="C1918" s="1">
        <v>43300101</v>
      </c>
      <c r="D1918" t="s">
        <v>67</v>
      </c>
      <c r="H1918" t="str">
        <f t="shared" ref="H1918:H1929" si="242">"93027710016"</f>
        <v>93027710016</v>
      </c>
      <c r="I1918" t="str">
        <f t="shared" ref="I1918:I1929" si="243">"03663500969"</f>
        <v>03663500969</v>
      </c>
      <c r="K1918" t="str">
        <f>""</f>
        <v/>
      </c>
      <c r="M1918" t="s">
        <v>68</v>
      </c>
      <c r="N1918" t="str">
        <f t="shared" ref="N1918:N1946" si="244">"FOR"</f>
        <v>FOR</v>
      </c>
      <c r="O1918" t="s">
        <v>69</v>
      </c>
      <c r="P1918" t="s">
        <v>75</v>
      </c>
      <c r="Q1918">
        <v>2016</v>
      </c>
      <c r="R1918" s="4">
        <v>42501</v>
      </c>
      <c r="S1918" s="2">
        <v>42509</v>
      </c>
      <c r="T1918" s="2">
        <v>42508</v>
      </c>
      <c r="U1918" s="4">
        <v>42568</v>
      </c>
      <c r="V1918" t="s">
        <v>71</v>
      </c>
      <c r="W1918" t="str">
        <f>"            16301715"</f>
        <v xml:space="preserve">            16301715</v>
      </c>
      <c r="X1918" s="1">
        <v>14631.75</v>
      </c>
      <c r="Y1918">
        <v>0</v>
      </c>
      <c r="Z1918" s="5">
        <v>11993.24</v>
      </c>
      <c r="AA1918" s="3">
        <v>229</v>
      </c>
      <c r="AB1918" s="5">
        <v>2746451.96</v>
      </c>
      <c r="AC1918" s="1">
        <v>11993.24</v>
      </c>
      <c r="AD1918">
        <v>229</v>
      </c>
      <c r="AE1918" s="1">
        <v>2746451.96</v>
      </c>
      <c r="AF1918" s="1">
        <v>2638.51</v>
      </c>
      <c r="AJ1918">
        <v>0</v>
      </c>
      <c r="AK1918">
        <v>0</v>
      </c>
      <c r="AL1918">
        <v>0</v>
      </c>
      <c r="AM1918">
        <v>0</v>
      </c>
      <c r="AN1918">
        <v>0</v>
      </c>
      <c r="AO1918">
        <v>0</v>
      </c>
      <c r="AP1918" s="2">
        <v>42831</v>
      </c>
      <c r="AQ1918" t="s">
        <v>72</v>
      </c>
      <c r="AR1918" t="s">
        <v>72</v>
      </c>
      <c r="AS1918">
        <v>708</v>
      </c>
      <c r="AT1918" s="4">
        <v>42797</v>
      </c>
      <c r="AU1918" t="s">
        <v>73</v>
      </c>
      <c r="AV1918">
        <v>708</v>
      </c>
      <c r="AW1918" s="4">
        <v>42797</v>
      </c>
      <c r="BD1918" s="1">
        <v>2638.51</v>
      </c>
      <c r="BN1918" t="s">
        <v>74</v>
      </c>
    </row>
    <row r="1919" spans="1:66">
      <c r="A1919">
        <v>104296</v>
      </c>
      <c r="B1919" t="s">
        <v>396</v>
      </c>
      <c r="C1919" s="1">
        <v>43300101</v>
      </c>
      <c r="D1919" t="s">
        <v>67</v>
      </c>
      <c r="H1919" t="str">
        <f t="shared" si="242"/>
        <v>93027710016</v>
      </c>
      <c r="I1919" t="str">
        <f t="shared" si="243"/>
        <v>03663500969</v>
      </c>
      <c r="K1919" t="str">
        <f>""</f>
        <v/>
      </c>
      <c r="M1919" t="s">
        <v>68</v>
      </c>
      <c r="N1919" t="str">
        <f t="shared" si="244"/>
        <v>FOR</v>
      </c>
      <c r="O1919" t="s">
        <v>69</v>
      </c>
      <c r="P1919" t="s">
        <v>75</v>
      </c>
      <c r="Q1919">
        <v>2016</v>
      </c>
      <c r="R1919" s="4">
        <v>42430</v>
      </c>
      <c r="S1919" s="2">
        <v>42464</v>
      </c>
      <c r="T1919" s="2">
        <v>42461</v>
      </c>
      <c r="U1919" s="4">
        <v>42521</v>
      </c>
      <c r="V1919" t="s">
        <v>71</v>
      </c>
      <c r="W1919" t="str">
        <f>"        B2000319-016"</f>
        <v xml:space="preserve">        B2000319-016</v>
      </c>
      <c r="X1919">
        <v>142.78</v>
      </c>
      <c r="Y1919">
        <v>0</v>
      </c>
      <c r="Z1919" s="5">
        <v>117.03</v>
      </c>
      <c r="AA1919" s="3">
        <v>254</v>
      </c>
      <c r="AB1919" s="5">
        <v>29725.62</v>
      </c>
      <c r="AC1919">
        <v>117.03</v>
      </c>
      <c r="AD1919">
        <v>254</v>
      </c>
      <c r="AE1919" s="1">
        <v>29725.62</v>
      </c>
      <c r="AF1919">
        <v>0</v>
      </c>
      <c r="AJ1919">
        <v>0</v>
      </c>
      <c r="AK1919">
        <v>0</v>
      </c>
      <c r="AL1919">
        <v>0</v>
      </c>
      <c r="AM1919">
        <v>0</v>
      </c>
      <c r="AN1919">
        <v>0</v>
      </c>
      <c r="AO1919">
        <v>0</v>
      </c>
      <c r="AP1919" s="2">
        <v>42831</v>
      </c>
      <c r="AQ1919" t="s">
        <v>72</v>
      </c>
      <c r="AR1919" t="s">
        <v>72</v>
      </c>
      <c r="AS1919">
        <v>384</v>
      </c>
      <c r="AT1919" s="4">
        <v>42775</v>
      </c>
      <c r="AU1919" t="s">
        <v>73</v>
      </c>
      <c r="AV1919">
        <v>384</v>
      </c>
      <c r="AW1919" s="4">
        <v>42775</v>
      </c>
      <c r="BD1919">
        <v>0</v>
      </c>
      <c r="BN1919" t="s">
        <v>74</v>
      </c>
    </row>
    <row r="1920" spans="1:66">
      <c r="A1920">
        <v>104296</v>
      </c>
      <c r="B1920" t="s">
        <v>396</v>
      </c>
      <c r="C1920" s="1">
        <v>43300101</v>
      </c>
      <c r="D1920" t="s">
        <v>67</v>
      </c>
      <c r="H1920" t="str">
        <f t="shared" si="242"/>
        <v>93027710016</v>
      </c>
      <c r="I1920" t="str">
        <f t="shared" si="243"/>
        <v>03663500969</v>
      </c>
      <c r="K1920" t="str">
        <f>""</f>
        <v/>
      </c>
      <c r="M1920" t="s">
        <v>68</v>
      </c>
      <c r="N1920" t="str">
        <f t="shared" si="244"/>
        <v>FOR</v>
      </c>
      <c r="O1920" t="s">
        <v>69</v>
      </c>
      <c r="P1920" t="s">
        <v>75</v>
      </c>
      <c r="Q1920">
        <v>2016</v>
      </c>
      <c r="R1920" s="4">
        <v>42437</v>
      </c>
      <c r="S1920" s="2">
        <v>42464</v>
      </c>
      <c r="T1920" s="2">
        <v>42461</v>
      </c>
      <c r="U1920" s="4">
        <v>42521</v>
      </c>
      <c r="V1920" t="s">
        <v>71</v>
      </c>
      <c r="W1920" t="str">
        <f>"        B2000370-016"</f>
        <v xml:space="preserve">        B2000370-016</v>
      </c>
      <c r="X1920" s="1">
        <v>7930</v>
      </c>
      <c r="Y1920">
        <v>0</v>
      </c>
      <c r="Z1920" s="5">
        <v>6500</v>
      </c>
      <c r="AA1920" s="3">
        <v>254</v>
      </c>
      <c r="AB1920" s="5">
        <v>1651000</v>
      </c>
      <c r="AC1920" s="1">
        <v>6500</v>
      </c>
      <c r="AD1920">
        <v>254</v>
      </c>
      <c r="AE1920" s="1">
        <v>1651000</v>
      </c>
      <c r="AF1920">
        <v>0</v>
      </c>
      <c r="AJ1920">
        <v>0</v>
      </c>
      <c r="AK1920">
        <v>0</v>
      </c>
      <c r="AL1920">
        <v>0</v>
      </c>
      <c r="AM1920">
        <v>0</v>
      </c>
      <c r="AN1920">
        <v>0</v>
      </c>
      <c r="AO1920">
        <v>0</v>
      </c>
      <c r="AP1920" s="2">
        <v>42831</v>
      </c>
      <c r="AQ1920" t="s">
        <v>72</v>
      </c>
      <c r="AR1920" t="s">
        <v>72</v>
      </c>
      <c r="AS1920">
        <v>384</v>
      </c>
      <c r="AT1920" s="4">
        <v>42775</v>
      </c>
      <c r="AU1920" t="s">
        <v>73</v>
      </c>
      <c r="AV1920">
        <v>384</v>
      </c>
      <c r="AW1920" s="4">
        <v>42775</v>
      </c>
      <c r="BD1920">
        <v>0</v>
      </c>
      <c r="BN1920" t="s">
        <v>74</v>
      </c>
    </row>
    <row r="1921" spans="1:66">
      <c r="A1921">
        <v>104296</v>
      </c>
      <c r="B1921" t="s">
        <v>396</v>
      </c>
      <c r="C1921" s="1">
        <v>43300101</v>
      </c>
      <c r="D1921" t="s">
        <v>67</v>
      </c>
      <c r="H1921" t="str">
        <f t="shared" si="242"/>
        <v>93027710016</v>
      </c>
      <c r="I1921" t="str">
        <f t="shared" si="243"/>
        <v>03663500969</v>
      </c>
      <c r="K1921" t="str">
        <f>""</f>
        <v/>
      </c>
      <c r="M1921" t="s">
        <v>68</v>
      </c>
      <c r="N1921" t="str">
        <f t="shared" si="244"/>
        <v>FOR</v>
      </c>
      <c r="O1921" t="s">
        <v>69</v>
      </c>
      <c r="P1921" t="s">
        <v>75</v>
      </c>
      <c r="Q1921">
        <v>2016</v>
      </c>
      <c r="R1921" s="4">
        <v>42446</v>
      </c>
      <c r="S1921" s="2">
        <v>42472</v>
      </c>
      <c r="T1921" s="2">
        <v>42472</v>
      </c>
      <c r="U1921" s="4">
        <v>42532</v>
      </c>
      <c r="V1921" t="s">
        <v>71</v>
      </c>
      <c r="W1921" t="str">
        <f>"        B2000414-016"</f>
        <v xml:space="preserve">        B2000414-016</v>
      </c>
      <c r="X1921" s="1">
        <v>18706.66</v>
      </c>
      <c r="Y1921">
        <v>0</v>
      </c>
      <c r="Z1921" s="5">
        <v>15333.33</v>
      </c>
      <c r="AA1921" s="3">
        <v>243</v>
      </c>
      <c r="AB1921" s="5">
        <v>3725999.19</v>
      </c>
      <c r="AC1921" s="1">
        <v>15333.33</v>
      </c>
      <c r="AD1921">
        <v>243</v>
      </c>
      <c r="AE1921" s="1">
        <v>3725999.19</v>
      </c>
      <c r="AF1921">
        <v>0</v>
      </c>
      <c r="AJ1921">
        <v>0</v>
      </c>
      <c r="AK1921">
        <v>0</v>
      </c>
      <c r="AL1921">
        <v>0</v>
      </c>
      <c r="AM1921">
        <v>0</v>
      </c>
      <c r="AN1921">
        <v>0</v>
      </c>
      <c r="AO1921">
        <v>0</v>
      </c>
      <c r="AP1921" s="2">
        <v>42831</v>
      </c>
      <c r="AQ1921" t="s">
        <v>72</v>
      </c>
      <c r="AR1921" t="s">
        <v>72</v>
      </c>
      <c r="AS1921">
        <v>384</v>
      </c>
      <c r="AT1921" s="4">
        <v>42775</v>
      </c>
      <c r="AU1921" t="s">
        <v>73</v>
      </c>
      <c r="AV1921">
        <v>384</v>
      </c>
      <c r="AW1921" s="4">
        <v>42775</v>
      </c>
      <c r="BD1921">
        <v>0</v>
      </c>
      <c r="BN1921" t="s">
        <v>74</v>
      </c>
    </row>
    <row r="1922" spans="1:66">
      <c r="A1922">
        <v>104296</v>
      </c>
      <c r="B1922" t="s">
        <v>396</v>
      </c>
      <c r="C1922" s="1">
        <v>43300101</v>
      </c>
      <c r="D1922" t="s">
        <v>67</v>
      </c>
      <c r="H1922" t="str">
        <f t="shared" si="242"/>
        <v>93027710016</v>
      </c>
      <c r="I1922" t="str">
        <f t="shared" si="243"/>
        <v>03663500969</v>
      </c>
      <c r="K1922" t="str">
        <f>""</f>
        <v/>
      </c>
      <c r="M1922" t="s">
        <v>68</v>
      </c>
      <c r="N1922" t="str">
        <f t="shared" si="244"/>
        <v>FOR</v>
      </c>
      <c r="O1922" t="s">
        <v>69</v>
      </c>
      <c r="P1922" t="s">
        <v>75</v>
      </c>
      <c r="Q1922">
        <v>2016</v>
      </c>
      <c r="R1922" s="4">
        <v>42446</v>
      </c>
      <c r="S1922" s="2">
        <v>42465</v>
      </c>
      <c r="T1922" s="2">
        <v>42461</v>
      </c>
      <c r="U1922" s="4">
        <v>42521</v>
      </c>
      <c r="V1922" t="s">
        <v>71</v>
      </c>
      <c r="W1922" t="str">
        <f>"        B2000415-016"</f>
        <v xml:space="preserve">        B2000415-016</v>
      </c>
      <c r="X1922" s="1">
        <v>11445.65</v>
      </c>
      <c r="Y1922">
        <v>0</v>
      </c>
      <c r="Z1922" s="5">
        <v>9381.68</v>
      </c>
      <c r="AA1922" s="3">
        <v>254</v>
      </c>
      <c r="AB1922" s="5">
        <v>2382946.7200000002</v>
      </c>
      <c r="AC1922" s="1">
        <v>9381.68</v>
      </c>
      <c r="AD1922">
        <v>254</v>
      </c>
      <c r="AE1922" s="1">
        <v>2382946.7200000002</v>
      </c>
      <c r="AF1922">
        <v>0</v>
      </c>
      <c r="AJ1922">
        <v>0</v>
      </c>
      <c r="AK1922">
        <v>0</v>
      </c>
      <c r="AL1922">
        <v>0</v>
      </c>
      <c r="AM1922">
        <v>0</v>
      </c>
      <c r="AN1922">
        <v>0</v>
      </c>
      <c r="AO1922">
        <v>0</v>
      </c>
      <c r="AP1922" s="2">
        <v>42831</v>
      </c>
      <c r="AQ1922" t="s">
        <v>72</v>
      </c>
      <c r="AR1922" t="s">
        <v>72</v>
      </c>
      <c r="AS1922">
        <v>384</v>
      </c>
      <c r="AT1922" s="4">
        <v>42775</v>
      </c>
      <c r="AU1922" t="s">
        <v>73</v>
      </c>
      <c r="AV1922">
        <v>384</v>
      </c>
      <c r="AW1922" s="4">
        <v>42775</v>
      </c>
      <c r="BD1922">
        <v>0</v>
      </c>
      <c r="BN1922" t="s">
        <v>74</v>
      </c>
    </row>
    <row r="1923" spans="1:66">
      <c r="A1923">
        <v>104296</v>
      </c>
      <c r="B1923" t="s">
        <v>396</v>
      </c>
      <c r="C1923" s="1">
        <v>43300101</v>
      </c>
      <c r="D1923" t="s">
        <v>67</v>
      </c>
      <c r="H1923" t="str">
        <f t="shared" si="242"/>
        <v>93027710016</v>
      </c>
      <c r="I1923" t="str">
        <f t="shared" si="243"/>
        <v>03663500969</v>
      </c>
      <c r="K1923" t="str">
        <f>""</f>
        <v/>
      </c>
      <c r="M1923" t="s">
        <v>68</v>
      </c>
      <c r="N1923" t="str">
        <f t="shared" si="244"/>
        <v>FOR</v>
      </c>
      <c r="O1923" t="s">
        <v>69</v>
      </c>
      <c r="P1923" t="s">
        <v>75</v>
      </c>
      <c r="Q1923">
        <v>2016</v>
      </c>
      <c r="R1923" s="4">
        <v>42447</v>
      </c>
      <c r="S1923" s="2">
        <v>42465</v>
      </c>
      <c r="T1923" s="2">
        <v>42461</v>
      </c>
      <c r="U1923" s="4">
        <v>42521</v>
      </c>
      <c r="V1923" t="s">
        <v>71</v>
      </c>
      <c r="W1923" t="str">
        <f>"        B2000422-016"</f>
        <v xml:space="preserve">        B2000422-016</v>
      </c>
      <c r="X1923" s="1">
        <v>18706.66</v>
      </c>
      <c r="Y1923">
        <v>0</v>
      </c>
      <c r="Z1923" s="5">
        <v>15333.33</v>
      </c>
      <c r="AA1923" s="3">
        <v>254</v>
      </c>
      <c r="AB1923" s="5">
        <v>3894665.82</v>
      </c>
      <c r="AC1923" s="1">
        <v>15333.33</v>
      </c>
      <c r="AD1923">
        <v>254</v>
      </c>
      <c r="AE1923" s="1">
        <v>3894665.82</v>
      </c>
      <c r="AF1923">
        <v>0</v>
      </c>
      <c r="AJ1923">
        <v>0</v>
      </c>
      <c r="AK1923">
        <v>0</v>
      </c>
      <c r="AL1923">
        <v>0</v>
      </c>
      <c r="AM1923">
        <v>0</v>
      </c>
      <c r="AN1923">
        <v>0</v>
      </c>
      <c r="AO1923">
        <v>0</v>
      </c>
      <c r="AP1923" s="2">
        <v>42831</v>
      </c>
      <c r="AQ1923" t="s">
        <v>72</v>
      </c>
      <c r="AR1923" t="s">
        <v>72</v>
      </c>
      <c r="AS1923">
        <v>384</v>
      </c>
      <c r="AT1923" s="4">
        <v>42775</v>
      </c>
      <c r="AU1923" t="s">
        <v>73</v>
      </c>
      <c r="AV1923">
        <v>384</v>
      </c>
      <c r="AW1923" s="4">
        <v>42775</v>
      </c>
      <c r="BD1923">
        <v>0</v>
      </c>
      <c r="BN1923" t="s">
        <v>74</v>
      </c>
    </row>
    <row r="1924" spans="1:66">
      <c r="A1924">
        <v>104296</v>
      </c>
      <c r="B1924" t="s">
        <v>396</v>
      </c>
      <c r="C1924" s="1">
        <v>43300101</v>
      </c>
      <c r="D1924" t="s">
        <v>67</v>
      </c>
      <c r="H1924" t="str">
        <f t="shared" si="242"/>
        <v>93027710016</v>
      </c>
      <c r="I1924" t="str">
        <f t="shared" si="243"/>
        <v>03663500969</v>
      </c>
      <c r="K1924" t="str">
        <f>""</f>
        <v/>
      </c>
      <c r="M1924" t="s">
        <v>68</v>
      </c>
      <c r="N1924" t="str">
        <f t="shared" si="244"/>
        <v>FOR</v>
      </c>
      <c r="O1924" t="s">
        <v>69</v>
      </c>
      <c r="P1924" t="s">
        <v>75</v>
      </c>
      <c r="Q1924">
        <v>2016</v>
      </c>
      <c r="R1924" s="4">
        <v>42447</v>
      </c>
      <c r="S1924" s="2">
        <v>42465</v>
      </c>
      <c r="T1924" s="2">
        <v>42461</v>
      </c>
      <c r="U1924" s="4">
        <v>42521</v>
      </c>
      <c r="V1924" t="s">
        <v>71</v>
      </c>
      <c r="W1924" t="str">
        <f>"        B2000423-016"</f>
        <v xml:space="preserve">        B2000423-016</v>
      </c>
      <c r="X1924" s="1">
        <v>11445.65</v>
      </c>
      <c r="Y1924">
        <v>0</v>
      </c>
      <c r="Z1924" s="5">
        <v>9381.68</v>
      </c>
      <c r="AA1924" s="3">
        <v>254</v>
      </c>
      <c r="AB1924" s="5">
        <v>2382946.7200000002</v>
      </c>
      <c r="AC1924" s="1">
        <v>9381.68</v>
      </c>
      <c r="AD1924">
        <v>254</v>
      </c>
      <c r="AE1924" s="1">
        <v>2382946.7200000002</v>
      </c>
      <c r="AF1924">
        <v>0</v>
      </c>
      <c r="AJ1924">
        <v>0</v>
      </c>
      <c r="AK1924">
        <v>0</v>
      </c>
      <c r="AL1924">
        <v>0</v>
      </c>
      <c r="AM1924">
        <v>0</v>
      </c>
      <c r="AN1924">
        <v>0</v>
      </c>
      <c r="AO1924">
        <v>0</v>
      </c>
      <c r="AP1924" s="2">
        <v>42831</v>
      </c>
      <c r="AQ1924" t="s">
        <v>72</v>
      </c>
      <c r="AR1924" t="s">
        <v>72</v>
      </c>
      <c r="AS1924">
        <v>384</v>
      </c>
      <c r="AT1924" s="4">
        <v>42775</v>
      </c>
      <c r="AU1924" t="s">
        <v>73</v>
      </c>
      <c r="AV1924">
        <v>384</v>
      </c>
      <c r="AW1924" s="4">
        <v>42775</v>
      </c>
      <c r="BD1924">
        <v>0</v>
      </c>
      <c r="BN1924" t="s">
        <v>74</v>
      </c>
    </row>
    <row r="1925" spans="1:66">
      <c r="A1925">
        <v>104296</v>
      </c>
      <c r="B1925" t="s">
        <v>396</v>
      </c>
      <c r="C1925" s="1">
        <v>43300101</v>
      </c>
      <c r="D1925" t="s">
        <v>67</v>
      </c>
      <c r="H1925" t="str">
        <f t="shared" si="242"/>
        <v>93027710016</v>
      </c>
      <c r="I1925" t="str">
        <f t="shared" si="243"/>
        <v>03663500969</v>
      </c>
      <c r="K1925" t="str">
        <f>""</f>
        <v/>
      </c>
      <c r="M1925" t="s">
        <v>68</v>
      </c>
      <c r="N1925" t="str">
        <f t="shared" si="244"/>
        <v>FOR</v>
      </c>
      <c r="O1925" t="s">
        <v>69</v>
      </c>
      <c r="P1925" t="s">
        <v>75</v>
      </c>
      <c r="Q1925">
        <v>2016</v>
      </c>
      <c r="R1925" s="4">
        <v>42450</v>
      </c>
      <c r="S1925" s="2">
        <v>42464</v>
      </c>
      <c r="T1925" s="2">
        <v>42461</v>
      </c>
      <c r="U1925" s="4">
        <v>42521</v>
      </c>
      <c r="V1925" t="s">
        <v>71</v>
      </c>
      <c r="W1925" t="str">
        <f>"        B2000620-016"</f>
        <v xml:space="preserve">        B2000620-016</v>
      </c>
      <c r="X1925" s="1">
        <v>49209.31</v>
      </c>
      <c r="Y1925">
        <v>0</v>
      </c>
      <c r="Z1925" s="5">
        <v>40335.5</v>
      </c>
      <c r="AA1925" s="3">
        <v>254</v>
      </c>
      <c r="AB1925" s="5">
        <v>10245217</v>
      </c>
      <c r="AC1925" s="1">
        <v>40335.5</v>
      </c>
      <c r="AD1925">
        <v>254</v>
      </c>
      <c r="AE1925" s="1">
        <v>10245217</v>
      </c>
      <c r="AF1925">
        <v>0</v>
      </c>
      <c r="AJ1925">
        <v>0</v>
      </c>
      <c r="AK1925">
        <v>0</v>
      </c>
      <c r="AL1925">
        <v>0</v>
      </c>
      <c r="AM1925">
        <v>0</v>
      </c>
      <c r="AN1925">
        <v>0</v>
      </c>
      <c r="AO1925">
        <v>0</v>
      </c>
      <c r="AP1925" s="2">
        <v>42831</v>
      </c>
      <c r="AQ1925" t="s">
        <v>72</v>
      </c>
      <c r="AR1925" t="s">
        <v>72</v>
      </c>
      <c r="AS1925">
        <v>384</v>
      </c>
      <c r="AT1925" s="4">
        <v>42775</v>
      </c>
      <c r="AU1925" t="s">
        <v>73</v>
      </c>
      <c r="AV1925">
        <v>384</v>
      </c>
      <c r="AW1925" s="4">
        <v>42775</v>
      </c>
      <c r="BD1925">
        <v>0</v>
      </c>
      <c r="BN1925" t="s">
        <v>74</v>
      </c>
    </row>
    <row r="1926" spans="1:66">
      <c r="A1926">
        <v>104296</v>
      </c>
      <c r="B1926" t="s">
        <v>396</v>
      </c>
      <c r="C1926" s="1">
        <v>43300101</v>
      </c>
      <c r="D1926" t="s">
        <v>67</v>
      </c>
      <c r="H1926" t="str">
        <f t="shared" si="242"/>
        <v>93027710016</v>
      </c>
      <c r="I1926" t="str">
        <f t="shared" si="243"/>
        <v>03663500969</v>
      </c>
      <c r="K1926" t="str">
        <f>""</f>
        <v/>
      </c>
      <c r="M1926" t="s">
        <v>68</v>
      </c>
      <c r="N1926" t="str">
        <f t="shared" si="244"/>
        <v>FOR</v>
      </c>
      <c r="O1926" t="s">
        <v>69</v>
      </c>
      <c r="P1926" t="s">
        <v>75</v>
      </c>
      <c r="Q1926">
        <v>2016</v>
      </c>
      <c r="R1926" s="4">
        <v>42450</v>
      </c>
      <c r="S1926" s="2">
        <v>42465</v>
      </c>
      <c r="T1926" s="2">
        <v>42461</v>
      </c>
      <c r="U1926" s="4">
        <v>42521</v>
      </c>
      <c r="V1926" t="s">
        <v>71</v>
      </c>
      <c r="W1926" t="str">
        <f>"        B2000631-016"</f>
        <v xml:space="preserve">        B2000631-016</v>
      </c>
      <c r="X1926" s="1">
        <v>18706.66</v>
      </c>
      <c r="Y1926">
        <v>0</v>
      </c>
      <c r="Z1926" s="5">
        <v>15333.33</v>
      </c>
      <c r="AA1926" s="3">
        <v>254</v>
      </c>
      <c r="AB1926" s="5">
        <v>3894665.82</v>
      </c>
      <c r="AC1926" s="1">
        <v>15333.33</v>
      </c>
      <c r="AD1926">
        <v>254</v>
      </c>
      <c r="AE1926" s="1">
        <v>3894665.82</v>
      </c>
      <c r="AF1926">
        <v>0</v>
      </c>
      <c r="AJ1926">
        <v>0</v>
      </c>
      <c r="AK1926">
        <v>0</v>
      </c>
      <c r="AL1926">
        <v>0</v>
      </c>
      <c r="AM1926">
        <v>0</v>
      </c>
      <c r="AN1926">
        <v>0</v>
      </c>
      <c r="AO1926">
        <v>0</v>
      </c>
      <c r="AP1926" s="2">
        <v>42831</v>
      </c>
      <c r="AQ1926" t="s">
        <v>72</v>
      </c>
      <c r="AR1926" t="s">
        <v>72</v>
      </c>
      <c r="AS1926">
        <v>384</v>
      </c>
      <c r="AT1926" s="4">
        <v>42775</v>
      </c>
      <c r="AU1926" t="s">
        <v>73</v>
      </c>
      <c r="AV1926">
        <v>384</v>
      </c>
      <c r="AW1926" s="4">
        <v>42775</v>
      </c>
      <c r="BD1926">
        <v>0</v>
      </c>
      <c r="BN1926" t="s">
        <v>74</v>
      </c>
    </row>
    <row r="1927" spans="1:66">
      <c r="A1927">
        <v>104296</v>
      </c>
      <c r="B1927" t="s">
        <v>396</v>
      </c>
      <c r="C1927" s="1">
        <v>43300101</v>
      </c>
      <c r="D1927" t="s">
        <v>67</v>
      </c>
      <c r="H1927" t="str">
        <f t="shared" si="242"/>
        <v>93027710016</v>
      </c>
      <c r="I1927" t="str">
        <f t="shared" si="243"/>
        <v>03663500969</v>
      </c>
      <c r="K1927" t="str">
        <f>""</f>
        <v/>
      </c>
      <c r="M1927" t="s">
        <v>68</v>
      </c>
      <c r="N1927" t="str">
        <f t="shared" si="244"/>
        <v>FOR</v>
      </c>
      <c r="O1927" t="s">
        <v>69</v>
      </c>
      <c r="P1927" t="s">
        <v>75</v>
      </c>
      <c r="Q1927">
        <v>2016</v>
      </c>
      <c r="R1927" s="4">
        <v>42450</v>
      </c>
      <c r="S1927" s="2">
        <v>42465</v>
      </c>
      <c r="T1927" s="2">
        <v>42461</v>
      </c>
      <c r="U1927" s="4">
        <v>42521</v>
      </c>
      <c r="V1927" t="s">
        <v>71</v>
      </c>
      <c r="W1927" t="str">
        <f>"        B2000632-016"</f>
        <v xml:space="preserve">        B2000632-016</v>
      </c>
      <c r="X1927" s="1">
        <v>11445.65</v>
      </c>
      <c r="Y1927">
        <v>0</v>
      </c>
      <c r="Z1927" s="5">
        <v>9381.68</v>
      </c>
      <c r="AA1927" s="3">
        <v>254</v>
      </c>
      <c r="AB1927" s="5">
        <v>2382946.7200000002</v>
      </c>
      <c r="AC1927" s="1">
        <v>9381.68</v>
      </c>
      <c r="AD1927">
        <v>254</v>
      </c>
      <c r="AE1927" s="1">
        <v>2382946.7200000002</v>
      </c>
      <c r="AF1927">
        <v>0</v>
      </c>
      <c r="AJ1927">
        <v>0</v>
      </c>
      <c r="AK1927">
        <v>0</v>
      </c>
      <c r="AL1927">
        <v>0</v>
      </c>
      <c r="AM1927">
        <v>0</v>
      </c>
      <c r="AN1927">
        <v>0</v>
      </c>
      <c r="AO1927">
        <v>0</v>
      </c>
      <c r="AP1927" s="2">
        <v>42831</v>
      </c>
      <c r="AQ1927" t="s">
        <v>72</v>
      </c>
      <c r="AR1927" t="s">
        <v>72</v>
      </c>
      <c r="AS1927">
        <v>384</v>
      </c>
      <c r="AT1927" s="4">
        <v>42775</v>
      </c>
      <c r="AU1927" t="s">
        <v>73</v>
      </c>
      <c r="AV1927">
        <v>384</v>
      </c>
      <c r="AW1927" s="4">
        <v>42775</v>
      </c>
      <c r="BD1927">
        <v>0</v>
      </c>
      <c r="BN1927" t="s">
        <v>74</v>
      </c>
    </row>
    <row r="1928" spans="1:66">
      <c r="A1928">
        <v>104296</v>
      </c>
      <c r="B1928" t="s">
        <v>396</v>
      </c>
      <c r="C1928" s="1">
        <v>43300101</v>
      </c>
      <c r="D1928" t="s">
        <v>67</v>
      </c>
      <c r="H1928" t="str">
        <f t="shared" si="242"/>
        <v>93027710016</v>
      </c>
      <c r="I1928" t="str">
        <f t="shared" si="243"/>
        <v>03663500969</v>
      </c>
      <c r="K1928" t="str">
        <f>""</f>
        <v/>
      </c>
      <c r="M1928" t="s">
        <v>68</v>
      </c>
      <c r="N1928" t="str">
        <f t="shared" si="244"/>
        <v>FOR</v>
      </c>
      <c r="O1928" t="s">
        <v>69</v>
      </c>
      <c r="P1928" t="s">
        <v>75</v>
      </c>
      <c r="Q1928">
        <v>2016</v>
      </c>
      <c r="R1928" s="4">
        <v>42452</v>
      </c>
      <c r="S1928" s="2">
        <v>42464</v>
      </c>
      <c r="T1928" s="2">
        <v>42461</v>
      </c>
      <c r="U1928" s="4">
        <v>42521</v>
      </c>
      <c r="V1928" t="s">
        <v>71</v>
      </c>
      <c r="W1928" t="str">
        <f>"        B2000767-016"</f>
        <v xml:space="preserve">        B2000767-016</v>
      </c>
      <c r="X1928">
        <v>806.04</v>
      </c>
      <c r="Y1928">
        <v>0</v>
      </c>
      <c r="Z1928" s="5">
        <v>660.69</v>
      </c>
      <c r="AA1928" s="3">
        <v>254</v>
      </c>
      <c r="AB1928" s="5">
        <v>167815.26</v>
      </c>
      <c r="AC1928">
        <v>660.69</v>
      </c>
      <c r="AD1928">
        <v>254</v>
      </c>
      <c r="AE1928" s="1">
        <v>167815.26</v>
      </c>
      <c r="AF1928">
        <v>0</v>
      </c>
      <c r="AJ1928">
        <v>0</v>
      </c>
      <c r="AK1928">
        <v>0</v>
      </c>
      <c r="AL1928">
        <v>0</v>
      </c>
      <c r="AM1928">
        <v>0</v>
      </c>
      <c r="AN1928">
        <v>0</v>
      </c>
      <c r="AO1928">
        <v>0</v>
      </c>
      <c r="AP1928" s="2">
        <v>42831</v>
      </c>
      <c r="AQ1928" t="s">
        <v>72</v>
      </c>
      <c r="AR1928" t="s">
        <v>72</v>
      </c>
      <c r="AS1928">
        <v>384</v>
      </c>
      <c r="AT1928" s="4">
        <v>42775</v>
      </c>
      <c r="AU1928" t="s">
        <v>73</v>
      </c>
      <c r="AV1928">
        <v>384</v>
      </c>
      <c r="AW1928" s="4">
        <v>42775</v>
      </c>
      <c r="BD1928">
        <v>0</v>
      </c>
      <c r="BN1928" t="s">
        <v>74</v>
      </c>
    </row>
    <row r="1929" spans="1:66">
      <c r="A1929">
        <v>104296</v>
      </c>
      <c r="B1929" t="s">
        <v>396</v>
      </c>
      <c r="C1929" s="1">
        <v>43300101</v>
      </c>
      <c r="D1929" t="s">
        <v>67</v>
      </c>
      <c r="H1929" t="str">
        <f t="shared" si="242"/>
        <v>93027710016</v>
      </c>
      <c r="I1929" t="str">
        <f t="shared" si="243"/>
        <v>03663500969</v>
      </c>
      <c r="K1929" t="str">
        <f>""</f>
        <v/>
      </c>
      <c r="M1929" t="s">
        <v>68</v>
      </c>
      <c r="N1929" t="str">
        <f t="shared" si="244"/>
        <v>FOR</v>
      </c>
      <c r="O1929" t="s">
        <v>69</v>
      </c>
      <c r="P1929" t="s">
        <v>75</v>
      </c>
      <c r="Q1929">
        <v>2016</v>
      </c>
      <c r="R1929" s="4">
        <v>42542</v>
      </c>
      <c r="S1929" s="2">
        <v>42557</v>
      </c>
      <c r="T1929" s="2">
        <v>42556</v>
      </c>
      <c r="U1929" s="4">
        <v>42616</v>
      </c>
      <c r="V1929" t="s">
        <v>71</v>
      </c>
      <c r="W1929" t="str">
        <f>"        B2001610-016"</f>
        <v xml:space="preserve">        B2001610-016</v>
      </c>
      <c r="X1929" s="1">
        <v>49209.31</v>
      </c>
      <c r="Y1929">
        <v>0</v>
      </c>
      <c r="Z1929" s="5">
        <v>40335.5</v>
      </c>
      <c r="AA1929" s="3">
        <v>181</v>
      </c>
      <c r="AB1929" s="5">
        <v>7300725.5</v>
      </c>
      <c r="AC1929" s="1">
        <v>40335.5</v>
      </c>
      <c r="AD1929">
        <v>181</v>
      </c>
      <c r="AE1929" s="1">
        <v>7300725.5</v>
      </c>
      <c r="AF1929" s="1">
        <v>8873.81</v>
      </c>
      <c r="AJ1929">
        <v>0</v>
      </c>
      <c r="AK1929">
        <v>0</v>
      </c>
      <c r="AL1929">
        <v>0</v>
      </c>
      <c r="AM1929">
        <v>0</v>
      </c>
      <c r="AN1929">
        <v>0</v>
      </c>
      <c r="AO1929">
        <v>0</v>
      </c>
      <c r="AP1929" s="2">
        <v>42831</v>
      </c>
      <c r="AQ1929" t="s">
        <v>72</v>
      </c>
      <c r="AR1929" t="s">
        <v>72</v>
      </c>
      <c r="AS1929">
        <v>708</v>
      </c>
      <c r="AT1929" s="4">
        <v>42797</v>
      </c>
      <c r="AU1929" t="s">
        <v>73</v>
      </c>
      <c r="AV1929">
        <v>708</v>
      </c>
      <c r="AW1929" s="4">
        <v>42797</v>
      </c>
      <c r="BD1929" s="1">
        <v>8873.81</v>
      </c>
      <c r="BN1929" t="s">
        <v>74</v>
      </c>
    </row>
    <row r="1930" spans="1:66">
      <c r="A1930">
        <v>104297</v>
      </c>
      <c r="B1930" t="s">
        <v>397</v>
      </c>
      <c r="C1930" s="1">
        <v>43300101</v>
      </c>
      <c r="D1930" t="s">
        <v>67</v>
      </c>
      <c r="H1930" t="str">
        <f t="shared" ref="H1930:I1935" si="245">"01282940681"</f>
        <v>01282940681</v>
      </c>
      <c r="I1930" t="str">
        <f t="shared" si="245"/>
        <v>01282940681</v>
      </c>
      <c r="K1930" t="str">
        <f>""</f>
        <v/>
      </c>
      <c r="M1930" t="s">
        <v>68</v>
      </c>
      <c r="N1930" t="str">
        <f t="shared" si="244"/>
        <v>FOR</v>
      </c>
      <c r="O1930" t="s">
        <v>69</v>
      </c>
      <c r="P1930" t="s">
        <v>75</v>
      </c>
      <c r="Q1930">
        <v>2016</v>
      </c>
      <c r="R1930" s="4">
        <v>42674</v>
      </c>
      <c r="S1930" s="2">
        <v>42690</v>
      </c>
      <c r="T1930" s="2">
        <v>42686</v>
      </c>
      <c r="U1930" s="4">
        <v>42746</v>
      </c>
      <c r="V1930" t="s">
        <v>71</v>
      </c>
      <c r="W1930" t="str">
        <f>"                1426"</f>
        <v xml:space="preserve">                1426</v>
      </c>
      <c r="X1930">
        <v>282.74</v>
      </c>
      <c r="Y1930">
        <v>0</v>
      </c>
      <c r="Z1930" s="5">
        <v>231.75</v>
      </c>
      <c r="AA1930" s="3">
        <v>49</v>
      </c>
      <c r="AB1930" s="5">
        <v>11355.75</v>
      </c>
      <c r="AC1930">
        <v>231.75</v>
      </c>
      <c r="AD1930">
        <v>49</v>
      </c>
      <c r="AE1930" s="1">
        <v>11355.75</v>
      </c>
      <c r="AF1930">
        <v>50.99</v>
      </c>
      <c r="AJ1930">
        <v>0</v>
      </c>
      <c r="AK1930">
        <v>0</v>
      </c>
      <c r="AL1930">
        <v>0</v>
      </c>
      <c r="AM1930">
        <v>0</v>
      </c>
      <c r="AN1930">
        <v>0</v>
      </c>
      <c r="AO1930">
        <v>0</v>
      </c>
      <c r="AP1930" s="2">
        <v>42831</v>
      </c>
      <c r="AQ1930" t="s">
        <v>72</v>
      </c>
      <c r="AR1930" t="s">
        <v>72</v>
      </c>
      <c r="AS1930">
        <v>663</v>
      </c>
      <c r="AT1930" s="4">
        <v>42795</v>
      </c>
      <c r="AU1930" t="s">
        <v>73</v>
      </c>
      <c r="AV1930">
        <v>663</v>
      </c>
      <c r="AW1930" s="4">
        <v>42795</v>
      </c>
      <c r="AZ1930">
        <v>50.99</v>
      </c>
      <c r="BD1930">
        <v>0</v>
      </c>
      <c r="BN1930" t="s">
        <v>74</v>
      </c>
    </row>
    <row r="1931" spans="1:66">
      <c r="A1931">
        <v>104297</v>
      </c>
      <c r="B1931" t="s">
        <v>397</v>
      </c>
      <c r="C1931" s="1">
        <v>43300101</v>
      </c>
      <c r="D1931" t="s">
        <v>67</v>
      </c>
      <c r="H1931" t="str">
        <f t="shared" si="245"/>
        <v>01282940681</v>
      </c>
      <c r="I1931" t="str">
        <f t="shared" si="245"/>
        <v>01282940681</v>
      </c>
      <c r="K1931" t="str">
        <f>""</f>
        <v/>
      </c>
      <c r="M1931" t="s">
        <v>68</v>
      </c>
      <c r="N1931" t="str">
        <f t="shared" si="244"/>
        <v>FOR</v>
      </c>
      <c r="O1931" t="s">
        <v>69</v>
      </c>
      <c r="P1931" t="s">
        <v>75</v>
      </c>
      <c r="Q1931">
        <v>2016</v>
      </c>
      <c r="R1931" s="4">
        <v>42674</v>
      </c>
      <c r="S1931" s="2">
        <v>42690</v>
      </c>
      <c r="T1931" s="2">
        <v>42686</v>
      </c>
      <c r="U1931" s="4">
        <v>42746</v>
      </c>
      <c r="V1931" t="s">
        <v>71</v>
      </c>
      <c r="W1931" t="str">
        <f>"                1427"</f>
        <v xml:space="preserve">                1427</v>
      </c>
      <c r="X1931">
        <v>524.6</v>
      </c>
      <c r="Y1931">
        <v>0</v>
      </c>
      <c r="Z1931" s="5">
        <v>430</v>
      </c>
      <c r="AA1931" s="3">
        <v>49</v>
      </c>
      <c r="AB1931" s="5">
        <v>21070</v>
      </c>
      <c r="AC1931">
        <v>430</v>
      </c>
      <c r="AD1931">
        <v>49</v>
      </c>
      <c r="AE1931" s="1">
        <v>21070</v>
      </c>
      <c r="AF1931">
        <v>94.6</v>
      </c>
      <c r="AJ1931">
        <v>0</v>
      </c>
      <c r="AK1931">
        <v>0</v>
      </c>
      <c r="AL1931">
        <v>0</v>
      </c>
      <c r="AM1931">
        <v>0</v>
      </c>
      <c r="AN1931">
        <v>0</v>
      </c>
      <c r="AO1931">
        <v>0</v>
      </c>
      <c r="AP1931" s="2">
        <v>42831</v>
      </c>
      <c r="AQ1931" t="s">
        <v>72</v>
      </c>
      <c r="AR1931" t="s">
        <v>72</v>
      </c>
      <c r="AS1931">
        <v>663</v>
      </c>
      <c r="AT1931" s="4">
        <v>42795</v>
      </c>
      <c r="AU1931" t="s">
        <v>73</v>
      </c>
      <c r="AV1931">
        <v>663</v>
      </c>
      <c r="AW1931" s="4">
        <v>42795</v>
      </c>
      <c r="AZ1931">
        <v>94.6</v>
      </c>
      <c r="BD1931">
        <v>0</v>
      </c>
      <c r="BN1931" t="s">
        <v>74</v>
      </c>
    </row>
    <row r="1932" spans="1:66">
      <c r="A1932">
        <v>104297</v>
      </c>
      <c r="B1932" t="s">
        <v>397</v>
      </c>
      <c r="C1932" s="1">
        <v>43300101</v>
      </c>
      <c r="D1932" t="s">
        <v>67</v>
      </c>
      <c r="H1932" t="str">
        <f t="shared" si="245"/>
        <v>01282940681</v>
      </c>
      <c r="I1932" t="str">
        <f t="shared" si="245"/>
        <v>01282940681</v>
      </c>
      <c r="K1932" t="str">
        <f>""</f>
        <v/>
      </c>
      <c r="M1932" t="s">
        <v>68</v>
      </c>
      <c r="N1932" t="str">
        <f t="shared" si="244"/>
        <v>FOR</v>
      </c>
      <c r="O1932" t="s">
        <v>69</v>
      </c>
      <c r="P1932" t="s">
        <v>75</v>
      </c>
      <c r="Q1932">
        <v>2016</v>
      </c>
      <c r="R1932" s="4">
        <v>42678</v>
      </c>
      <c r="S1932" s="2">
        <v>42705</v>
      </c>
      <c r="T1932" s="2">
        <v>42704</v>
      </c>
      <c r="U1932" s="4">
        <v>42764</v>
      </c>
      <c r="V1932" t="s">
        <v>71</v>
      </c>
      <c r="W1932" t="str">
        <f>"                1438"</f>
        <v xml:space="preserve">                1438</v>
      </c>
      <c r="X1932" s="1">
        <v>6502.91</v>
      </c>
      <c r="Y1932">
        <v>0</v>
      </c>
      <c r="Z1932" s="5">
        <v>5330.25</v>
      </c>
      <c r="AA1932" s="3">
        <v>31</v>
      </c>
      <c r="AB1932" s="5">
        <v>165237.75</v>
      </c>
      <c r="AC1932" s="1">
        <v>5330.25</v>
      </c>
      <c r="AD1932">
        <v>31</v>
      </c>
      <c r="AE1932" s="1">
        <v>165237.75</v>
      </c>
      <c r="AF1932" s="1">
        <v>1172.6600000000001</v>
      </c>
      <c r="AJ1932">
        <v>0</v>
      </c>
      <c r="AK1932">
        <v>0</v>
      </c>
      <c r="AL1932">
        <v>0</v>
      </c>
      <c r="AM1932">
        <v>0</v>
      </c>
      <c r="AN1932">
        <v>0</v>
      </c>
      <c r="AO1932">
        <v>0</v>
      </c>
      <c r="AP1932" s="2">
        <v>42831</v>
      </c>
      <c r="AQ1932" t="s">
        <v>72</v>
      </c>
      <c r="AR1932" t="s">
        <v>72</v>
      </c>
      <c r="AS1932">
        <v>663</v>
      </c>
      <c r="AT1932" s="4">
        <v>42795</v>
      </c>
      <c r="AU1932" t="s">
        <v>73</v>
      </c>
      <c r="AV1932">
        <v>663</v>
      </c>
      <c r="AW1932" s="4">
        <v>42795</v>
      </c>
      <c r="AZ1932" s="1">
        <v>1172.6600000000001</v>
      </c>
      <c r="BD1932">
        <v>0</v>
      </c>
      <c r="BN1932" t="s">
        <v>74</v>
      </c>
    </row>
    <row r="1933" spans="1:66">
      <c r="A1933">
        <v>104297</v>
      </c>
      <c r="B1933" t="s">
        <v>397</v>
      </c>
      <c r="C1933" s="1">
        <v>43300101</v>
      </c>
      <c r="D1933" t="s">
        <v>67</v>
      </c>
      <c r="H1933" t="str">
        <f t="shared" si="245"/>
        <v>01282940681</v>
      </c>
      <c r="I1933" t="str">
        <f t="shared" si="245"/>
        <v>01282940681</v>
      </c>
      <c r="K1933" t="str">
        <f>""</f>
        <v/>
      </c>
      <c r="M1933" t="s">
        <v>68</v>
      </c>
      <c r="N1933" t="str">
        <f t="shared" si="244"/>
        <v>FOR</v>
      </c>
      <c r="O1933" t="s">
        <v>69</v>
      </c>
      <c r="P1933" t="s">
        <v>75</v>
      </c>
      <c r="Q1933">
        <v>2016</v>
      </c>
      <c r="R1933" s="4">
        <v>42704</v>
      </c>
      <c r="S1933" s="2">
        <v>42725</v>
      </c>
      <c r="T1933" s="2">
        <v>42724</v>
      </c>
      <c r="U1933" s="4">
        <v>42784</v>
      </c>
      <c r="V1933" t="s">
        <v>71</v>
      </c>
      <c r="W1933" t="str">
        <f>"                1550"</f>
        <v xml:space="preserve">                1550</v>
      </c>
      <c r="X1933">
        <v>274.56</v>
      </c>
      <c r="Y1933">
        <v>0</v>
      </c>
      <c r="Z1933" s="5">
        <v>264</v>
      </c>
      <c r="AA1933" s="3">
        <v>11</v>
      </c>
      <c r="AB1933" s="5">
        <v>2904</v>
      </c>
      <c r="AC1933">
        <v>264</v>
      </c>
      <c r="AD1933">
        <v>11</v>
      </c>
      <c r="AE1933" s="1">
        <v>2904</v>
      </c>
      <c r="AF1933">
        <v>10.56</v>
      </c>
      <c r="AJ1933">
        <v>0</v>
      </c>
      <c r="AK1933">
        <v>0</v>
      </c>
      <c r="AL1933">
        <v>0</v>
      </c>
      <c r="AM1933">
        <v>0</v>
      </c>
      <c r="AN1933">
        <v>0</v>
      </c>
      <c r="AO1933">
        <v>0</v>
      </c>
      <c r="AP1933" s="2">
        <v>42831</v>
      </c>
      <c r="AQ1933" t="s">
        <v>72</v>
      </c>
      <c r="AR1933" t="s">
        <v>72</v>
      </c>
      <c r="AS1933">
        <v>663</v>
      </c>
      <c r="AT1933" s="4">
        <v>42795</v>
      </c>
      <c r="AU1933" t="s">
        <v>73</v>
      </c>
      <c r="AV1933">
        <v>663</v>
      </c>
      <c r="AW1933" s="4">
        <v>42795</v>
      </c>
      <c r="AY1933">
        <v>10.56</v>
      </c>
      <c r="BD1933">
        <v>0</v>
      </c>
      <c r="BN1933" t="s">
        <v>74</v>
      </c>
    </row>
    <row r="1934" spans="1:66">
      <c r="A1934">
        <v>104297</v>
      </c>
      <c r="B1934" t="s">
        <v>397</v>
      </c>
      <c r="C1934" s="1">
        <v>43300101</v>
      </c>
      <c r="D1934" t="s">
        <v>67</v>
      </c>
      <c r="H1934" t="str">
        <f t="shared" si="245"/>
        <v>01282940681</v>
      </c>
      <c r="I1934" t="str">
        <f t="shared" si="245"/>
        <v>01282940681</v>
      </c>
      <c r="K1934" t="str">
        <f>""</f>
        <v/>
      </c>
      <c r="M1934" t="s">
        <v>68</v>
      </c>
      <c r="N1934" t="str">
        <f t="shared" si="244"/>
        <v>FOR</v>
      </c>
      <c r="O1934" t="s">
        <v>69</v>
      </c>
      <c r="P1934" t="s">
        <v>75</v>
      </c>
      <c r="Q1934">
        <v>2016</v>
      </c>
      <c r="R1934" s="4">
        <v>42718</v>
      </c>
      <c r="S1934" s="2">
        <v>42725</v>
      </c>
      <c r="T1934" s="2">
        <v>42724</v>
      </c>
      <c r="U1934" s="4">
        <v>42784</v>
      </c>
      <c r="V1934" t="s">
        <v>71</v>
      </c>
      <c r="W1934" t="str">
        <f>"                1623"</f>
        <v xml:space="preserve">                1623</v>
      </c>
      <c r="X1934">
        <v>37.44</v>
      </c>
      <c r="Y1934">
        <v>0</v>
      </c>
      <c r="Z1934" s="5">
        <v>36</v>
      </c>
      <c r="AA1934" s="3">
        <v>11</v>
      </c>
      <c r="AB1934" s="3">
        <v>396</v>
      </c>
      <c r="AC1934">
        <v>36</v>
      </c>
      <c r="AD1934">
        <v>11</v>
      </c>
      <c r="AE1934">
        <v>396</v>
      </c>
      <c r="AF1934">
        <v>1.44</v>
      </c>
      <c r="AJ1934">
        <v>0</v>
      </c>
      <c r="AK1934">
        <v>0</v>
      </c>
      <c r="AL1934">
        <v>0</v>
      </c>
      <c r="AM1934">
        <v>0</v>
      </c>
      <c r="AN1934">
        <v>0</v>
      </c>
      <c r="AO1934">
        <v>0</v>
      </c>
      <c r="AP1934" s="2">
        <v>42831</v>
      </c>
      <c r="AQ1934" t="s">
        <v>72</v>
      </c>
      <c r="AR1934" t="s">
        <v>72</v>
      </c>
      <c r="AS1934">
        <v>663</v>
      </c>
      <c r="AT1934" s="4">
        <v>42795</v>
      </c>
      <c r="AU1934" t="s">
        <v>73</v>
      </c>
      <c r="AV1934">
        <v>663</v>
      </c>
      <c r="AW1934" s="4">
        <v>42795</v>
      </c>
      <c r="AY1934">
        <v>1.44</v>
      </c>
      <c r="BD1934">
        <v>0</v>
      </c>
      <c r="BN1934" t="s">
        <v>74</v>
      </c>
    </row>
    <row r="1935" spans="1:66">
      <c r="A1935">
        <v>104297</v>
      </c>
      <c r="B1935" t="s">
        <v>397</v>
      </c>
      <c r="C1935" s="1">
        <v>43300101</v>
      </c>
      <c r="D1935" t="s">
        <v>67</v>
      </c>
      <c r="H1935" t="str">
        <f t="shared" si="245"/>
        <v>01282940681</v>
      </c>
      <c r="I1935" t="str">
        <f t="shared" si="245"/>
        <v>01282940681</v>
      </c>
      <c r="K1935" t="str">
        <f>""</f>
        <v/>
      </c>
      <c r="M1935" t="s">
        <v>68</v>
      </c>
      <c r="N1935" t="str">
        <f t="shared" si="244"/>
        <v>FOR</v>
      </c>
      <c r="O1935" t="s">
        <v>69</v>
      </c>
      <c r="P1935" t="s">
        <v>75</v>
      </c>
      <c r="Q1935">
        <v>2016</v>
      </c>
      <c r="R1935" s="4">
        <v>42720</v>
      </c>
      <c r="S1935" s="2">
        <v>42767</v>
      </c>
      <c r="T1935" s="2">
        <v>42760</v>
      </c>
      <c r="U1935" s="4">
        <v>42820</v>
      </c>
      <c r="V1935" t="s">
        <v>71</v>
      </c>
      <c r="W1935" t="str">
        <f>"                1637"</f>
        <v xml:space="preserve">                1637</v>
      </c>
      <c r="X1935">
        <v>262.3</v>
      </c>
      <c r="Y1935">
        <v>0</v>
      </c>
      <c r="Z1935" s="5">
        <v>215</v>
      </c>
      <c r="AA1935" s="3">
        <v>-25</v>
      </c>
      <c r="AB1935" s="5">
        <v>-5375</v>
      </c>
      <c r="AC1935">
        <v>215</v>
      </c>
      <c r="AD1935">
        <v>-25</v>
      </c>
      <c r="AE1935" s="1">
        <v>-5375</v>
      </c>
      <c r="AF1935">
        <v>47.3</v>
      </c>
      <c r="AJ1935">
        <v>0</v>
      </c>
      <c r="AK1935">
        <v>262.3</v>
      </c>
      <c r="AL1935">
        <v>0</v>
      </c>
      <c r="AM1935">
        <v>0</v>
      </c>
      <c r="AN1935">
        <v>262.3</v>
      </c>
      <c r="AO1935">
        <v>0</v>
      </c>
      <c r="AP1935" s="2">
        <v>42831</v>
      </c>
      <c r="AQ1935" t="s">
        <v>72</v>
      </c>
      <c r="AR1935" t="s">
        <v>72</v>
      </c>
      <c r="AS1935">
        <v>663</v>
      </c>
      <c r="AT1935" s="4">
        <v>42795</v>
      </c>
      <c r="AV1935">
        <v>663</v>
      </c>
      <c r="AW1935" s="4">
        <v>42795</v>
      </c>
      <c r="AX1935">
        <v>47.3</v>
      </c>
      <c r="BD1935">
        <v>0</v>
      </c>
      <c r="BN1935" t="s">
        <v>74</v>
      </c>
    </row>
    <row r="1936" spans="1:66">
      <c r="A1936">
        <v>104316</v>
      </c>
      <c r="B1936" t="s">
        <v>398</v>
      </c>
      <c r="C1936" s="1">
        <v>43300101</v>
      </c>
      <c r="D1936" t="s">
        <v>67</v>
      </c>
      <c r="H1936" t="str">
        <f>"93026890017"</f>
        <v>93026890017</v>
      </c>
      <c r="I1936" t="str">
        <f>"08539010010"</f>
        <v>08539010010</v>
      </c>
      <c r="K1936" t="str">
        <f>""</f>
        <v/>
      </c>
      <c r="M1936" t="s">
        <v>68</v>
      </c>
      <c r="N1936" t="str">
        <f t="shared" si="244"/>
        <v>FOR</v>
      </c>
      <c r="O1936" t="s">
        <v>69</v>
      </c>
      <c r="P1936" t="s">
        <v>75</v>
      </c>
      <c r="Q1936">
        <v>2016</v>
      </c>
      <c r="R1936" s="4">
        <v>42729</v>
      </c>
      <c r="S1936" s="2">
        <v>42733</v>
      </c>
      <c r="T1936" s="2">
        <v>42731</v>
      </c>
      <c r="U1936" s="4">
        <v>42791</v>
      </c>
      <c r="V1936" t="s">
        <v>71</v>
      </c>
      <c r="W1936" t="str">
        <f>"          AG20611268"</f>
        <v xml:space="preserve">          AG20611268</v>
      </c>
      <c r="X1936">
        <v>61</v>
      </c>
      <c r="Y1936">
        <v>0</v>
      </c>
      <c r="Z1936" s="5">
        <v>50</v>
      </c>
      <c r="AA1936" s="3">
        <v>-25</v>
      </c>
      <c r="AB1936" s="5">
        <v>-1250</v>
      </c>
      <c r="AC1936">
        <v>50</v>
      </c>
      <c r="AD1936">
        <v>-25</v>
      </c>
      <c r="AE1936" s="1">
        <v>-1250</v>
      </c>
      <c r="AF1936">
        <v>0</v>
      </c>
      <c r="AJ1936">
        <v>0</v>
      </c>
      <c r="AK1936">
        <v>0</v>
      </c>
      <c r="AL1936">
        <v>0</v>
      </c>
      <c r="AM1936">
        <v>0</v>
      </c>
      <c r="AN1936">
        <v>0</v>
      </c>
      <c r="AO1936">
        <v>0</v>
      </c>
      <c r="AP1936" s="2">
        <v>42831</v>
      </c>
      <c r="AQ1936" t="s">
        <v>72</v>
      </c>
      <c r="AR1936" t="s">
        <v>72</v>
      </c>
      <c r="AS1936">
        <v>160</v>
      </c>
      <c r="AT1936" s="4">
        <v>42766</v>
      </c>
      <c r="AV1936">
        <v>160</v>
      </c>
      <c r="AW1936" s="4">
        <v>42766</v>
      </c>
      <c r="BD1936">
        <v>0</v>
      </c>
      <c r="BN1936" t="s">
        <v>74</v>
      </c>
    </row>
    <row r="1937" spans="1:66">
      <c r="A1937">
        <v>104316</v>
      </c>
      <c r="B1937" t="s">
        <v>398</v>
      </c>
      <c r="C1937" s="1">
        <v>43300101</v>
      </c>
      <c r="D1937" t="s">
        <v>67</v>
      </c>
      <c r="H1937" t="str">
        <f>"93026890017"</f>
        <v>93026890017</v>
      </c>
      <c r="I1937" t="str">
        <f>"08539010010"</f>
        <v>08539010010</v>
      </c>
      <c r="K1937" t="str">
        <f>""</f>
        <v/>
      </c>
      <c r="M1937" t="s">
        <v>68</v>
      </c>
      <c r="N1937" t="str">
        <f t="shared" si="244"/>
        <v>FOR</v>
      </c>
      <c r="O1937" t="s">
        <v>69</v>
      </c>
      <c r="P1937" t="s">
        <v>75</v>
      </c>
      <c r="Q1937">
        <v>2017</v>
      </c>
      <c r="R1937" s="4">
        <v>42790</v>
      </c>
      <c r="S1937" s="2">
        <v>42794</v>
      </c>
      <c r="T1937" s="2">
        <v>42791</v>
      </c>
      <c r="U1937" s="4">
        <v>42851</v>
      </c>
      <c r="V1937" t="s">
        <v>71</v>
      </c>
      <c r="W1937" t="str">
        <f>"          AH03533634"</f>
        <v xml:space="preserve">          AH03533634</v>
      </c>
      <c r="X1937">
        <v>61</v>
      </c>
      <c r="Y1937">
        <v>0</v>
      </c>
      <c r="Z1937" s="5">
        <v>50</v>
      </c>
      <c r="AA1937" s="3">
        <v>-33</v>
      </c>
      <c r="AB1937" s="5">
        <v>-1650</v>
      </c>
      <c r="AC1937">
        <v>50</v>
      </c>
      <c r="AD1937">
        <v>-33</v>
      </c>
      <c r="AE1937" s="1">
        <v>-1650</v>
      </c>
      <c r="AF1937">
        <v>11</v>
      </c>
      <c r="AJ1937">
        <v>0</v>
      </c>
      <c r="AK1937">
        <v>61</v>
      </c>
      <c r="AL1937">
        <v>61</v>
      </c>
      <c r="AM1937">
        <v>0</v>
      </c>
      <c r="AN1937">
        <v>61</v>
      </c>
      <c r="AO1937">
        <v>61</v>
      </c>
      <c r="AP1937" s="2">
        <v>42831</v>
      </c>
      <c r="AQ1937" t="s">
        <v>72</v>
      </c>
      <c r="AR1937" t="s">
        <v>72</v>
      </c>
      <c r="AS1937">
        <v>895</v>
      </c>
      <c r="AT1937" s="4">
        <v>42818</v>
      </c>
      <c r="AV1937">
        <v>895</v>
      </c>
      <c r="AW1937" s="4">
        <v>42818</v>
      </c>
      <c r="BD1937">
        <v>0</v>
      </c>
      <c r="BF1937">
        <v>11</v>
      </c>
      <c r="BN1937" t="s">
        <v>74</v>
      </c>
    </row>
    <row r="1938" spans="1:66">
      <c r="A1938">
        <v>104358</v>
      </c>
      <c r="B1938" t="s">
        <v>399</v>
      </c>
      <c r="C1938" s="1">
        <v>43300101</v>
      </c>
      <c r="D1938" t="s">
        <v>67</v>
      </c>
      <c r="H1938" t="str">
        <f>"01103810618"</f>
        <v>01103810618</v>
      </c>
      <c r="I1938" t="str">
        <f>"04887560631"</f>
        <v>04887560631</v>
      </c>
      <c r="K1938" t="str">
        <f>""</f>
        <v/>
      </c>
      <c r="M1938" t="s">
        <v>68</v>
      </c>
      <c r="N1938" t="str">
        <f t="shared" si="244"/>
        <v>FOR</v>
      </c>
      <c r="O1938" t="s">
        <v>69</v>
      </c>
      <c r="P1938" t="s">
        <v>75</v>
      </c>
      <c r="Q1938">
        <v>2016</v>
      </c>
      <c r="R1938" s="4">
        <v>42489</v>
      </c>
      <c r="S1938" s="2">
        <v>42494</v>
      </c>
      <c r="T1938" s="2">
        <v>42494</v>
      </c>
      <c r="U1938" s="4">
        <v>42554</v>
      </c>
      <c r="V1938" t="s">
        <v>71</v>
      </c>
      <c r="W1938" t="str">
        <f>"               32/01"</f>
        <v xml:space="preserve">               32/01</v>
      </c>
      <c r="X1938" s="1">
        <v>10868</v>
      </c>
      <c r="Y1938">
        <v>0</v>
      </c>
      <c r="Z1938" s="5">
        <v>10450</v>
      </c>
      <c r="AA1938" s="3">
        <v>228</v>
      </c>
      <c r="AB1938" s="5">
        <v>2382600</v>
      </c>
      <c r="AC1938" s="1">
        <v>10450</v>
      </c>
      <c r="AD1938">
        <v>228</v>
      </c>
      <c r="AE1938" s="1">
        <v>2382600</v>
      </c>
      <c r="AF1938">
        <v>0</v>
      </c>
      <c r="AJ1938">
        <v>0</v>
      </c>
      <c r="AK1938">
        <v>0</v>
      </c>
      <c r="AL1938">
        <v>0</v>
      </c>
      <c r="AM1938">
        <v>0</v>
      </c>
      <c r="AN1938">
        <v>0</v>
      </c>
      <c r="AO1938">
        <v>0</v>
      </c>
      <c r="AP1938" s="2">
        <v>42831</v>
      </c>
      <c r="AQ1938" t="s">
        <v>72</v>
      </c>
      <c r="AR1938" t="s">
        <v>72</v>
      </c>
      <c r="AS1938">
        <v>478</v>
      </c>
      <c r="AT1938" s="4">
        <v>42782</v>
      </c>
      <c r="AU1938" t="s">
        <v>73</v>
      </c>
      <c r="AV1938">
        <v>478</v>
      </c>
      <c r="AW1938" s="4">
        <v>42782</v>
      </c>
      <c r="BD1938">
        <v>0</v>
      </c>
      <c r="BN1938" t="s">
        <v>74</v>
      </c>
    </row>
    <row r="1939" spans="1:66">
      <c r="A1939">
        <v>104364</v>
      </c>
      <c r="B1939" t="s">
        <v>400</v>
      </c>
      <c r="C1939" s="1">
        <v>43300101</v>
      </c>
      <c r="D1939" t="s">
        <v>67</v>
      </c>
      <c r="H1939" t="str">
        <f t="shared" ref="H1939:I1944" si="246">"05525540729"</f>
        <v>05525540729</v>
      </c>
      <c r="I1939" t="str">
        <f t="shared" si="246"/>
        <v>05525540729</v>
      </c>
      <c r="K1939" t="str">
        <f>""</f>
        <v/>
      </c>
      <c r="M1939" t="s">
        <v>68</v>
      </c>
      <c r="N1939" t="str">
        <f t="shared" si="244"/>
        <v>FOR</v>
      </c>
      <c r="O1939" t="s">
        <v>69</v>
      </c>
      <c r="P1939" t="s">
        <v>75</v>
      </c>
      <c r="Q1939">
        <v>2016</v>
      </c>
      <c r="R1939" s="4">
        <v>42433</v>
      </c>
      <c r="S1939" s="2">
        <v>42436</v>
      </c>
      <c r="T1939" s="2">
        <v>42433</v>
      </c>
      <c r="U1939" s="4">
        <v>42493</v>
      </c>
      <c r="V1939" t="s">
        <v>71</v>
      </c>
      <c r="W1939" t="str">
        <f>"        FATTPA 34_16"</f>
        <v xml:space="preserve">        FATTPA 34_16</v>
      </c>
      <c r="X1939" s="1">
        <v>1778.76</v>
      </c>
      <c r="Y1939">
        <v>0</v>
      </c>
      <c r="Z1939" s="5">
        <v>1458</v>
      </c>
      <c r="AA1939" s="3">
        <v>273</v>
      </c>
      <c r="AB1939" s="5">
        <v>398034</v>
      </c>
      <c r="AC1939" s="1">
        <v>1458</v>
      </c>
      <c r="AD1939">
        <v>273</v>
      </c>
      <c r="AE1939" s="1">
        <v>398034</v>
      </c>
      <c r="AF1939">
        <v>0</v>
      </c>
      <c r="AJ1939">
        <v>0</v>
      </c>
      <c r="AK1939">
        <v>0</v>
      </c>
      <c r="AL1939">
        <v>0</v>
      </c>
      <c r="AM1939">
        <v>0</v>
      </c>
      <c r="AN1939">
        <v>0</v>
      </c>
      <c r="AO1939">
        <v>0</v>
      </c>
      <c r="AP1939" s="2">
        <v>42831</v>
      </c>
      <c r="AQ1939" t="s">
        <v>72</v>
      </c>
      <c r="AR1939" t="s">
        <v>72</v>
      </c>
      <c r="AS1939">
        <v>166</v>
      </c>
      <c r="AT1939" s="4">
        <v>42766</v>
      </c>
      <c r="AU1939" t="s">
        <v>73</v>
      </c>
      <c r="AV1939">
        <v>166</v>
      </c>
      <c r="AW1939" s="4">
        <v>42766</v>
      </c>
      <c r="BD1939">
        <v>0</v>
      </c>
      <c r="BN1939" t="s">
        <v>74</v>
      </c>
    </row>
    <row r="1940" spans="1:66">
      <c r="A1940">
        <v>104364</v>
      </c>
      <c r="B1940" t="s">
        <v>400</v>
      </c>
      <c r="C1940" s="1">
        <v>43300101</v>
      </c>
      <c r="D1940" t="s">
        <v>67</v>
      </c>
      <c r="H1940" t="str">
        <f t="shared" si="246"/>
        <v>05525540729</v>
      </c>
      <c r="I1940" t="str">
        <f t="shared" si="246"/>
        <v>05525540729</v>
      </c>
      <c r="K1940" t="str">
        <f>""</f>
        <v/>
      </c>
      <c r="M1940" t="s">
        <v>68</v>
      </c>
      <c r="N1940" t="str">
        <f t="shared" si="244"/>
        <v>FOR</v>
      </c>
      <c r="O1940" t="s">
        <v>69</v>
      </c>
      <c r="P1940" t="s">
        <v>75</v>
      </c>
      <c r="Q1940">
        <v>2016</v>
      </c>
      <c r="R1940" s="4">
        <v>42447</v>
      </c>
      <c r="S1940" s="2">
        <v>42453</v>
      </c>
      <c r="T1940" s="2">
        <v>42452</v>
      </c>
      <c r="U1940" s="4">
        <v>42512</v>
      </c>
      <c r="V1940" t="s">
        <v>71</v>
      </c>
      <c r="W1940" t="str">
        <f>"        FATTPA 48_16"</f>
        <v xml:space="preserve">        FATTPA 48_16</v>
      </c>
      <c r="X1940" s="1">
        <v>1201.7</v>
      </c>
      <c r="Y1940">
        <v>0</v>
      </c>
      <c r="Z1940" s="5">
        <v>985</v>
      </c>
      <c r="AA1940" s="3">
        <v>254</v>
      </c>
      <c r="AB1940" s="5">
        <v>250190</v>
      </c>
      <c r="AC1940">
        <v>985</v>
      </c>
      <c r="AD1940">
        <v>254</v>
      </c>
      <c r="AE1940" s="1">
        <v>250190</v>
      </c>
      <c r="AF1940">
        <v>0</v>
      </c>
      <c r="AJ1940">
        <v>0</v>
      </c>
      <c r="AK1940">
        <v>0</v>
      </c>
      <c r="AL1940">
        <v>0</v>
      </c>
      <c r="AM1940">
        <v>0</v>
      </c>
      <c r="AN1940">
        <v>0</v>
      </c>
      <c r="AO1940">
        <v>0</v>
      </c>
      <c r="AP1940" s="2">
        <v>42831</v>
      </c>
      <c r="AQ1940" t="s">
        <v>72</v>
      </c>
      <c r="AR1940" t="s">
        <v>72</v>
      </c>
      <c r="AS1940">
        <v>166</v>
      </c>
      <c r="AT1940" s="4">
        <v>42766</v>
      </c>
      <c r="AU1940" t="s">
        <v>73</v>
      </c>
      <c r="AV1940">
        <v>166</v>
      </c>
      <c r="AW1940" s="4">
        <v>42766</v>
      </c>
      <c r="BD1940">
        <v>0</v>
      </c>
      <c r="BN1940" t="s">
        <v>74</v>
      </c>
    </row>
    <row r="1941" spans="1:66">
      <c r="A1941">
        <v>104364</v>
      </c>
      <c r="B1941" t="s">
        <v>400</v>
      </c>
      <c r="C1941" s="1">
        <v>43300101</v>
      </c>
      <c r="D1941" t="s">
        <v>67</v>
      </c>
      <c r="H1941" t="str">
        <f t="shared" si="246"/>
        <v>05525540729</v>
      </c>
      <c r="I1941" t="str">
        <f t="shared" si="246"/>
        <v>05525540729</v>
      </c>
      <c r="K1941" t="str">
        <f>""</f>
        <v/>
      </c>
      <c r="M1941" t="s">
        <v>68</v>
      </c>
      <c r="N1941" t="str">
        <f t="shared" si="244"/>
        <v>FOR</v>
      </c>
      <c r="O1941" t="s">
        <v>69</v>
      </c>
      <c r="P1941" t="s">
        <v>75</v>
      </c>
      <c r="Q1941">
        <v>2016</v>
      </c>
      <c r="R1941" s="4">
        <v>42473</v>
      </c>
      <c r="S1941" s="2">
        <v>42488</v>
      </c>
      <c r="T1941" s="2">
        <v>42487</v>
      </c>
      <c r="U1941" s="4">
        <v>42547</v>
      </c>
      <c r="V1941" t="s">
        <v>71</v>
      </c>
      <c r="W1941" t="str">
        <f>"        FATTPA 60_16"</f>
        <v xml:space="preserve">        FATTPA 60_16</v>
      </c>
      <c r="X1941" s="1">
        <v>4044.91</v>
      </c>
      <c r="Y1941">
        <v>0</v>
      </c>
      <c r="Z1941" s="5">
        <v>3315.5</v>
      </c>
      <c r="AA1941" s="3">
        <v>234</v>
      </c>
      <c r="AB1941" s="5">
        <v>775827</v>
      </c>
      <c r="AC1941" s="1">
        <v>3315.5</v>
      </c>
      <c r="AD1941">
        <v>234</v>
      </c>
      <c r="AE1941" s="1">
        <v>775827</v>
      </c>
      <c r="AF1941">
        <v>0</v>
      </c>
      <c r="AJ1941">
        <v>0</v>
      </c>
      <c r="AK1941">
        <v>0</v>
      </c>
      <c r="AL1941">
        <v>0</v>
      </c>
      <c r="AM1941">
        <v>0</v>
      </c>
      <c r="AN1941">
        <v>0</v>
      </c>
      <c r="AO1941">
        <v>0</v>
      </c>
      <c r="AP1941" s="2">
        <v>42831</v>
      </c>
      <c r="AQ1941" t="s">
        <v>72</v>
      </c>
      <c r="AR1941" t="s">
        <v>72</v>
      </c>
      <c r="AS1941">
        <v>454</v>
      </c>
      <c r="AT1941" s="4">
        <v>42781</v>
      </c>
      <c r="AU1941" t="s">
        <v>73</v>
      </c>
      <c r="AV1941">
        <v>454</v>
      </c>
      <c r="AW1941" s="4">
        <v>42781</v>
      </c>
      <c r="BD1941">
        <v>0</v>
      </c>
      <c r="BN1941" t="s">
        <v>74</v>
      </c>
    </row>
    <row r="1942" spans="1:66">
      <c r="A1942">
        <v>104364</v>
      </c>
      <c r="B1942" t="s">
        <v>400</v>
      </c>
      <c r="C1942" s="1">
        <v>43300101</v>
      </c>
      <c r="D1942" t="s">
        <v>67</v>
      </c>
      <c r="H1942" t="str">
        <f t="shared" si="246"/>
        <v>05525540729</v>
      </c>
      <c r="I1942" t="str">
        <f t="shared" si="246"/>
        <v>05525540729</v>
      </c>
      <c r="K1942" t="str">
        <f>""</f>
        <v/>
      </c>
      <c r="M1942" t="s">
        <v>68</v>
      </c>
      <c r="N1942" t="str">
        <f t="shared" si="244"/>
        <v>FOR</v>
      </c>
      <c r="O1942" t="s">
        <v>69</v>
      </c>
      <c r="P1942" t="s">
        <v>75</v>
      </c>
      <c r="Q1942">
        <v>2016</v>
      </c>
      <c r="R1942" s="4">
        <v>42478</v>
      </c>
      <c r="S1942" s="2">
        <v>42489</v>
      </c>
      <c r="T1942" s="2">
        <v>42487</v>
      </c>
      <c r="U1942" s="4">
        <v>42547</v>
      </c>
      <c r="V1942" t="s">
        <v>71</v>
      </c>
      <c r="W1942" t="str">
        <f>"        FATTPA 61_16"</f>
        <v xml:space="preserve">        FATTPA 61_16</v>
      </c>
      <c r="X1942" s="1">
        <v>1281</v>
      </c>
      <c r="Y1942">
        <v>0</v>
      </c>
      <c r="Z1942" s="5">
        <v>1050</v>
      </c>
      <c r="AA1942" s="3">
        <v>234</v>
      </c>
      <c r="AB1942" s="5">
        <v>245700</v>
      </c>
      <c r="AC1942" s="1">
        <v>1050</v>
      </c>
      <c r="AD1942">
        <v>234</v>
      </c>
      <c r="AE1942" s="1">
        <v>245700</v>
      </c>
      <c r="AF1942">
        <v>0</v>
      </c>
      <c r="AJ1942">
        <v>0</v>
      </c>
      <c r="AK1942">
        <v>0</v>
      </c>
      <c r="AL1942">
        <v>0</v>
      </c>
      <c r="AM1942">
        <v>0</v>
      </c>
      <c r="AN1942">
        <v>0</v>
      </c>
      <c r="AO1942">
        <v>0</v>
      </c>
      <c r="AP1942" s="2">
        <v>42831</v>
      </c>
      <c r="AQ1942" t="s">
        <v>72</v>
      </c>
      <c r="AR1942" t="s">
        <v>72</v>
      </c>
      <c r="AS1942">
        <v>454</v>
      </c>
      <c r="AT1942" s="4">
        <v>42781</v>
      </c>
      <c r="AU1942" t="s">
        <v>73</v>
      </c>
      <c r="AV1942">
        <v>454</v>
      </c>
      <c r="AW1942" s="4">
        <v>42781</v>
      </c>
      <c r="BD1942">
        <v>0</v>
      </c>
      <c r="BN1942" t="s">
        <v>74</v>
      </c>
    </row>
    <row r="1943" spans="1:66">
      <c r="A1943">
        <v>104364</v>
      </c>
      <c r="B1943" t="s">
        <v>400</v>
      </c>
      <c r="C1943" s="1">
        <v>43300101</v>
      </c>
      <c r="D1943" t="s">
        <v>67</v>
      </c>
      <c r="H1943" t="str">
        <f t="shared" si="246"/>
        <v>05525540729</v>
      </c>
      <c r="I1943" t="str">
        <f t="shared" si="246"/>
        <v>05525540729</v>
      </c>
      <c r="K1943" t="str">
        <f>""</f>
        <v/>
      </c>
      <c r="M1943" t="s">
        <v>68</v>
      </c>
      <c r="N1943" t="str">
        <f t="shared" si="244"/>
        <v>FOR</v>
      </c>
      <c r="O1943" t="s">
        <v>69</v>
      </c>
      <c r="P1943" t="s">
        <v>75</v>
      </c>
      <c r="Q1943">
        <v>2016</v>
      </c>
      <c r="R1943" s="4">
        <v>42486</v>
      </c>
      <c r="S1943" s="2">
        <v>42496</v>
      </c>
      <c r="T1943" s="2">
        <v>42494</v>
      </c>
      <c r="U1943" s="4">
        <v>42554</v>
      </c>
      <c r="V1943" t="s">
        <v>71</v>
      </c>
      <c r="W1943" t="str">
        <f>"        FATTPA 65_16"</f>
        <v xml:space="preserve">        FATTPA 65_16</v>
      </c>
      <c r="X1943" s="1">
        <v>2928</v>
      </c>
      <c r="Y1943">
        <v>0</v>
      </c>
      <c r="Z1943" s="5">
        <v>2400</v>
      </c>
      <c r="AA1943" s="3">
        <v>227</v>
      </c>
      <c r="AB1943" s="5">
        <v>544800</v>
      </c>
      <c r="AC1943" s="1">
        <v>2400</v>
      </c>
      <c r="AD1943">
        <v>227</v>
      </c>
      <c r="AE1943" s="1">
        <v>544800</v>
      </c>
      <c r="AF1943">
        <v>0</v>
      </c>
      <c r="AJ1943">
        <v>0</v>
      </c>
      <c r="AK1943">
        <v>0</v>
      </c>
      <c r="AL1943">
        <v>0</v>
      </c>
      <c r="AM1943">
        <v>0</v>
      </c>
      <c r="AN1943">
        <v>0</v>
      </c>
      <c r="AO1943">
        <v>0</v>
      </c>
      <c r="AP1943" s="2">
        <v>42831</v>
      </c>
      <c r="AQ1943" t="s">
        <v>72</v>
      </c>
      <c r="AR1943" t="s">
        <v>72</v>
      </c>
      <c r="AS1943">
        <v>454</v>
      </c>
      <c r="AT1943" s="4">
        <v>42781</v>
      </c>
      <c r="AU1943" t="s">
        <v>73</v>
      </c>
      <c r="AV1943">
        <v>454</v>
      </c>
      <c r="AW1943" s="4">
        <v>42781</v>
      </c>
      <c r="BD1943">
        <v>0</v>
      </c>
      <c r="BN1943" t="s">
        <v>74</v>
      </c>
    </row>
    <row r="1944" spans="1:66">
      <c r="A1944">
        <v>104364</v>
      </c>
      <c r="B1944" t="s">
        <v>400</v>
      </c>
      <c r="C1944" s="1">
        <v>43300101</v>
      </c>
      <c r="D1944" t="s">
        <v>67</v>
      </c>
      <c r="H1944" t="str">
        <f t="shared" si="246"/>
        <v>05525540729</v>
      </c>
      <c r="I1944" t="str">
        <f t="shared" si="246"/>
        <v>05525540729</v>
      </c>
      <c r="K1944" t="str">
        <f>""</f>
        <v/>
      </c>
      <c r="M1944" t="s">
        <v>68</v>
      </c>
      <c r="N1944" t="str">
        <f t="shared" si="244"/>
        <v>FOR</v>
      </c>
      <c r="O1944" t="s">
        <v>69</v>
      </c>
      <c r="P1944" t="s">
        <v>75</v>
      </c>
      <c r="Q1944">
        <v>2016</v>
      </c>
      <c r="R1944" s="4">
        <v>42507</v>
      </c>
      <c r="S1944" s="2">
        <v>42515</v>
      </c>
      <c r="T1944" s="2">
        <v>42514</v>
      </c>
      <c r="U1944" s="4">
        <v>42574</v>
      </c>
      <c r="V1944" t="s">
        <v>71</v>
      </c>
      <c r="W1944" t="str">
        <f>"        FATTPA 75_16"</f>
        <v xml:space="preserve">        FATTPA 75_16</v>
      </c>
      <c r="X1944" s="1">
        <v>3660</v>
      </c>
      <c r="Y1944">
        <v>0</v>
      </c>
      <c r="Z1944" s="5">
        <v>3000</v>
      </c>
      <c r="AA1944" s="3">
        <v>221</v>
      </c>
      <c r="AB1944" s="5">
        <v>663000</v>
      </c>
      <c r="AC1944" s="1">
        <v>3000</v>
      </c>
      <c r="AD1944">
        <v>221</v>
      </c>
      <c r="AE1944" s="1">
        <v>663000</v>
      </c>
      <c r="AF1944">
        <v>660</v>
      </c>
      <c r="AJ1944">
        <v>0</v>
      </c>
      <c r="AK1944">
        <v>0</v>
      </c>
      <c r="AL1944">
        <v>0</v>
      </c>
      <c r="AM1944">
        <v>0</v>
      </c>
      <c r="AN1944">
        <v>0</v>
      </c>
      <c r="AO1944">
        <v>0</v>
      </c>
      <c r="AP1944" s="2">
        <v>42831</v>
      </c>
      <c r="AQ1944" t="s">
        <v>72</v>
      </c>
      <c r="AR1944" t="s">
        <v>72</v>
      </c>
      <c r="AS1944">
        <v>632</v>
      </c>
      <c r="AT1944" s="4">
        <v>42795</v>
      </c>
      <c r="AU1944" t="s">
        <v>73</v>
      </c>
      <c r="AV1944">
        <v>632</v>
      </c>
      <c r="AW1944" s="4">
        <v>42795</v>
      </c>
      <c r="BD1944">
        <v>660</v>
      </c>
      <c r="BN1944" t="s">
        <v>74</v>
      </c>
    </row>
    <row r="1945" spans="1:66">
      <c r="A1945">
        <v>104365</v>
      </c>
      <c r="B1945" t="s">
        <v>401</v>
      </c>
      <c r="C1945" s="1">
        <v>43300101</v>
      </c>
      <c r="D1945" t="s">
        <v>67</v>
      </c>
      <c r="H1945" t="str">
        <f>"12864800151"</f>
        <v>12864800151</v>
      </c>
      <c r="I1945" t="str">
        <f>"12864800151"</f>
        <v>12864800151</v>
      </c>
      <c r="K1945" t="str">
        <f>""</f>
        <v/>
      </c>
      <c r="M1945" t="s">
        <v>68</v>
      </c>
      <c r="N1945" t="str">
        <f t="shared" si="244"/>
        <v>FOR</v>
      </c>
      <c r="O1945" t="s">
        <v>69</v>
      </c>
      <c r="P1945" t="s">
        <v>75</v>
      </c>
      <c r="Q1945">
        <v>2016</v>
      </c>
      <c r="R1945" s="4">
        <v>42580</v>
      </c>
      <c r="S1945" s="2">
        <v>42583</v>
      </c>
      <c r="T1945" s="2">
        <v>42581</v>
      </c>
      <c r="U1945" s="4">
        <v>42641</v>
      </c>
      <c r="V1945" t="s">
        <v>71</v>
      </c>
      <c r="W1945" t="str">
        <f>"          3072953004"</f>
        <v xml:space="preserve">          3072953004</v>
      </c>
      <c r="X1945">
        <v>145.41999999999999</v>
      </c>
      <c r="Y1945">
        <v>0</v>
      </c>
      <c r="Z1945" s="5">
        <v>119.2</v>
      </c>
      <c r="AA1945" s="3">
        <v>131</v>
      </c>
      <c r="AB1945" s="5">
        <v>15615.2</v>
      </c>
      <c r="AC1945">
        <v>119.2</v>
      </c>
      <c r="AD1945">
        <v>131</v>
      </c>
      <c r="AE1945" s="1">
        <v>15615.2</v>
      </c>
      <c r="AF1945">
        <v>26.22</v>
      </c>
      <c r="AJ1945">
        <v>0</v>
      </c>
      <c r="AK1945">
        <v>0</v>
      </c>
      <c r="AL1945">
        <v>0</v>
      </c>
      <c r="AM1945">
        <v>0</v>
      </c>
      <c r="AN1945">
        <v>0</v>
      </c>
      <c r="AO1945">
        <v>0</v>
      </c>
      <c r="AP1945" s="2">
        <v>42831</v>
      </c>
      <c r="AQ1945" t="s">
        <v>72</v>
      </c>
      <c r="AR1945" t="s">
        <v>72</v>
      </c>
      <c r="AS1945">
        <v>292</v>
      </c>
      <c r="AT1945" s="4">
        <v>42772</v>
      </c>
      <c r="AU1945" t="s">
        <v>73</v>
      </c>
      <c r="AV1945">
        <v>292</v>
      </c>
      <c r="AW1945" s="4">
        <v>42772</v>
      </c>
      <c r="BD1945">
        <v>26.22</v>
      </c>
      <c r="BN1945" t="s">
        <v>74</v>
      </c>
    </row>
    <row r="1946" spans="1:66">
      <c r="A1946">
        <v>104365</v>
      </c>
      <c r="B1946" t="s">
        <v>401</v>
      </c>
      <c r="C1946" s="1">
        <v>43300101</v>
      </c>
      <c r="D1946" t="s">
        <v>67</v>
      </c>
      <c r="H1946" t="str">
        <f>"12864800151"</f>
        <v>12864800151</v>
      </c>
      <c r="I1946" t="str">
        <f>"12864800151"</f>
        <v>12864800151</v>
      </c>
      <c r="K1946" t="str">
        <f>""</f>
        <v/>
      </c>
      <c r="M1946" t="s">
        <v>68</v>
      </c>
      <c r="N1946" t="str">
        <f t="shared" si="244"/>
        <v>FOR</v>
      </c>
      <c r="O1946" t="s">
        <v>69</v>
      </c>
      <c r="P1946" t="s">
        <v>75</v>
      </c>
      <c r="Q1946">
        <v>2016</v>
      </c>
      <c r="R1946" s="4">
        <v>42586</v>
      </c>
      <c r="S1946" s="2">
        <v>42587</v>
      </c>
      <c r="T1946" s="2">
        <v>42587</v>
      </c>
      <c r="U1946" s="4">
        <v>42647</v>
      </c>
      <c r="V1946" t="s">
        <v>71</v>
      </c>
      <c r="W1946" t="str">
        <f>"          3072954840"</f>
        <v xml:space="preserve">          3072954840</v>
      </c>
      <c r="X1946">
        <v>60.51</v>
      </c>
      <c r="Y1946">
        <v>0</v>
      </c>
      <c r="Z1946" s="5">
        <v>49.6</v>
      </c>
      <c r="AA1946" s="3">
        <v>125</v>
      </c>
      <c r="AB1946" s="5">
        <v>6200</v>
      </c>
      <c r="AC1946">
        <v>49.6</v>
      </c>
      <c r="AD1946">
        <v>125</v>
      </c>
      <c r="AE1946" s="1">
        <v>6200</v>
      </c>
      <c r="AF1946">
        <v>10.91</v>
      </c>
      <c r="AJ1946">
        <v>0</v>
      </c>
      <c r="AK1946">
        <v>0</v>
      </c>
      <c r="AL1946">
        <v>0</v>
      </c>
      <c r="AM1946">
        <v>0</v>
      </c>
      <c r="AN1946">
        <v>0</v>
      </c>
      <c r="AO1946">
        <v>0</v>
      </c>
      <c r="AP1946" s="2">
        <v>42831</v>
      </c>
      <c r="AQ1946" t="s">
        <v>72</v>
      </c>
      <c r="AR1946" t="s">
        <v>72</v>
      </c>
      <c r="AS1946">
        <v>292</v>
      </c>
      <c r="AT1946" s="4">
        <v>42772</v>
      </c>
      <c r="AU1946" t="s">
        <v>73</v>
      </c>
      <c r="AV1946">
        <v>292</v>
      </c>
      <c r="AW1946" s="4">
        <v>42772</v>
      </c>
      <c r="BC1946">
        <v>10.91</v>
      </c>
      <c r="BD1946">
        <v>0</v>
      </c>
      <c r="BN1946" t="s">
        <v>74</v>
      </c>
    </row>
    <row r="1947" spans="1:66" hidden="1">
      <c r="A1947">
        <v>104374</v>
      </c>
      <c r="B1947" t="s">
        <v>402</v>
      </c>
      <c r="C1947" s="1">
        <v>43500101</v>
      </c>
      <c r="D1947" t="s">
        <v>98</v>
      </c>
      <c r="H1947" t="str">
        <f t="shared" ref="H1947:I1949" si="247">"05513630011"</f>
        <v>05513630011</v>
      </c>
      <c r="I1947" t="str">
        <f t="shared" si="247"/>
        <v>05513630011</v>
      </c>
      <c r="K1947" t="str">
        <f>""</f>
        <v/>
      </c>
      <c r="M1947" t="s">
        <v>68</v>
      </c>
      <c r="N1947" t="str">
        <f>"ALTFIN"</f>
        <v>ALTFIN</v>
      </c>
      <c r="O1947" t="s">
        <v>102</v>
      </c>
      <c r="P1947" t="s">
        <v>82</v>
      </c>
      <c r="Q1947">
        <v>2017</v>
      </c>
      <c r="R1947" s="4">
        <v>42755</v>
      </c>
      <c r="S1947" s="2">
        <v>42755</v>
      </c>
      <c r="T1947" s="2">
        <v>42755</v>
      </c>
      <c r="U1947" s="4">
        <v>42815</v>
      </c>
      <c r="V1947" t="s">
        <v>71</v>
      </c>
      <c r="W1947" t="str">
        <f>"                0120"</f>
        <v xml:space="preserve">                0120</v>
      </c>
      <c r="X1947">
        <v>0</v>
      </c>
      <c r="Y1947">
        <v>598</v>
      </c>
      <c r="Z1947" s="3">
        <v>598</v>
      </c>
      <c r="AA1947" s="3">
        <v>-57</v>
      </c>
      <c r="AB1947" s="5">
        <v>-34086</v>
      </c>
      <c r="AC1947">
        <v>598</v>
      </c>
      <c r="AD1947">
        <v>-57</v>
      </c>
      <c r="AE1947" s="1">
        <v>-34086</v>
      </c>
      <c r="AF1947">
        <v>0</v>
      </c>
      <c r="AJ1947">
        <v>598</v>
      </c>
      <c r="AK1947">
        <v>598</v>
      </c>
      <c r="AL1947">
        <v>598</v>
      </c>
      <c r="AM1947">
        <v>598</v>
      </c>
      <c r="AN1947">
        <v>598</v>
      </c>
      <c r="AO1947">
        <v>598</v>
      </c>
      <c r="AP1947" s="2">
        <v>42831</v>
      </c>
      <c r="AQ1947" t="s">
        <v>72</v>
      </c>
      <c r="AR1947" t="s">
        <v>72</v>
      </c>
      <c r="AS1947">
        <v>67</v>
      </c>
      <c r="AT1947" s="4">
        <v>42758</v>
      </c>
      <c r="AV1947">
        <v>67</v>
      </c>
      <c r="AW1947" s="4">
        <v>42758</v>
      </c>
      <c r="BD1947">
        <v>0</v>
      </c>
      <c r="BN1947" t="s">
        <v>74</v>
      </c>
    </row>
    <row r="1948" spans="1:66" hidden="1">
      <c r="A1948">
        <v>104374</v>
      </c>
      <c r="B1948" t="s">
        <v>402</v>
      </c>
      <c r="C1948" s="1">
        <v>43500101</v>
      </c>
      <c r="D1948" t="s">
        <v>98</v>
      </c>
      <c r="H1948" t="str">
        <f t="shared" si="247"/>
        <v>05513630011</v>
      </c>
      <c r="I1948" t="str">
        <f t="shared" si="247"/>
        <v>05513630011</v>
      </c>
      <c r="K1948" t="str">
        <f>""</f>
        <v/>
      </c>
      <c r="M1948" t="s">
        <v>68</v>
      </c>
      <c r="N1948" t="str">
        <f>"ALTFIN"</f>
        <v>ALTFIN</v>
      </c>
      <c r="O1948" t="s">
        <v>102</v>
      </c>
      <c r="P1948" t="s">
        <v>83</v>
      </c>
      <c r="Q1948">
        <v>2017</v>
      </c>
      <c r="R1948" s="4">
        <v>42786</v>
      </c>
      <c r="S1948" s="2">
        <v>42787</v>
      </c>
      <c r="T1948" s="2">
        <v>42787</v>
      </c>
      <c r="U1948" s="4">
        <v>42847</v>
      </c>
      <c r="V1948" t="s">
        <v>71</v>
      </c>
      <c r="W1948" t="str">
        <f>"                0220"</f>
        <v xml:space="preserve">                0220</v>
      </c>
      <c r="X1948">
        <v>0</v>
      </c>
      <c r="Y1948">
        <v>598</v>
      </c>
      <c r="Z1948" s="3">
        <v>598</v>
      </c>
      <c r="AA1948" s="3">
        <v>-60</v>
      </c>
      <c r="AB1948" s="5">
        <v>-35880</v>
      </c>
      <c r="AC1948">
        <v>598</v>
      </c>
      <c r="AD1948">
        <v>-60</v>
      </c>
      <c r="AE1948" s="1">
        <v>-35880</v>
      </c>
      <c r="AF1948">
        <v>0</v>
      </c>
      <c r="AJ1948">
        <v>598</v>
      </c>
      <c r="AK1948">
        <v>598</v>
      </c>
      <c r="AL1948">
        <v>598</v>
      </c>
      <c r="AM1948">
        <v>598</v>
      </c>
      <c r="AN1948">
        <v>598</v>
      </c>
      <c r="AO1948">
        <v>598</v>
      </c>
      <c r="AP1948" s="2">
        <v>42831</v>
      </c>
      <c r="AQ1948" t="s">
        <v>72</v>
      </c>
      <c r="AR1948" t="s">
        <v>72</v>
      </c>
      <c r="AS1948">
        <v>547</v>
      </c>
      <c r="AT1948" s="4">
        <v>42787</v>
      </c>
      <c r="AV1948">
        <v>547</v>
      </c>
      <c r="AW1948" s="4">
        <v>42787</v>
      </c>
      <c r="BD1948">
        <v>0</v>
      </c>
      <c r="BN1948" t="s">
        <v>74</v>
      </c>
    </row>
    <row r="1949" spans="1:66" hidden="1">
      <c r="A1949">
        <v>104374</v>
      </c>
      <c r="B1949" t="s">
        <v>402</v>
      </c>
      <c r="C1949" s="1">
        <v>43500101</v>
      </c>
      <c r="D1949" t="s">
        <v>98</v>
      </c>
      <c r="H1949" t="str">
        <f t="shared" si="247"/>
        <v>05513630011</v>
      </c>
      <c r="I1949" t="str">
        <f t="shared" si="247"/>
        <v>05513630011</v>
      </c>
      <c r="K1949" t="str">
        <f>""</f>
        <v/>
      </c>
      <c r="M1949" t="s">
        <v>68</v>
      </c>
      <c r="N1949" t="str">
        <f>"ALTFIN"</f>
        <v>ALTFIN</v>
      </c>
      <c r="O1949" t="s">
        <v>102</v>
      </c>
      <c r="P1949" t="s">
        <v>84</v>
      </c>
      <c r="Q1949">
        <v>2017</v>
      </c>
      <c r="R1949" s="4">
        <v>42815</v>
      </c>
      <c r="S1949" s="2">
        <v>42815</v>
      </c>
      <c r="T1949" s="2">
        <v>42815</v>
      </c>
      <c r="U1949" s="4">
        <v>42875</v>
      </c>
      <c r="V1949" t="s">
        <v>71</v>
      </c>
      <c r="W1949" t="str">
        <f>"                0321"</f>
        <v xml:space="preserve">                0321</v>
      </c>
      <c r="X1949">
        <v>0</v>
      </c>
      <c r="Y1949">
        <v>598</v>
      </c>
      <c r="Z1949" s="3">
        <v>598</v>
      </c>
      <c r="AA1949" s="3">
        <v>-60</v>
      </c>
      <c r="AB1949" s="5">
        <v>-35880</v>
      </c>
      <c r="AC1949">
        <v>598</v>
      </c>
      <c r="AD1949">
        <v>-60</v>
      </c>
      <c r="AE1949" s="1">
        <v>-35880</v>
      </c>
      <c r="AF1949">
        <v>0</v>
      </c>
      <c r="AJ1949">
        <v>598</v>
      </c>
      <c r="AK1949">
        <v>598</v>
      </c>
      <c r="AL1949">
        <v>598</v>
      </c>
      <c r="AM1949">
        <v>598</v>
      </c>
      <c r="AN1949">
        <v>598</v>
      </c>
      <c r="AO1949">
        <v>598</v>
      </c>
      <c r="AP1949" s="2">
        <v>42831</v>
      </c>
      <c r="AQ1949" t="s">
        <v>72</v>
      </c>
      <c r="AR1949" t="s">
        <v>72</v>
      </c>
      <c r="AS1949">
        <v>844</v>
      </c>
      <c r="AT1949" s="4">
        <v>42815</v>
      </c>
      <c r="AV1949">
        <v>844</v>
      </c>
      <c r="AW1949" s="4">
        <v>42815</v>
      </c>
      <c r="BD1949">
        <v>0</v>
      </c>
      <c r="BN1949" t="s">
        <v>74</v>
      </c>
    </row>
    <row r="1950" spans="1:66">
      <c r="A1950">
        <v>104379</v>
      </c>
      <c r="B1950" t="s">
        <v>403</v>
      </c>
      <c r="C1950" s="1">
        <v>43300101</v>
      </c>
      <c r="D1950" t="s">
        <v>67</v>
      </c>
      <c r="H1950" t="str">
        <f t="shared" ref="H1950:H1963" si="248">"07668030583"</f>
        <v>07668030583</v>
      </c>
      <c r="I1950" t="str">
        <f t="shared" ref="I1950:I1963" si="249">"01836081008"</f>
        <v>01836081008</v>
      </c>
      <c r="K1950" t="str">
        <f>""</f>
        <v/>
      </c>
      <c r="M1950" t="s">
        <v>68</v>
      </c>
      <c r="N1950" t="str">
        <f t="shared" ref="N1950:N1981" si="250">"FOR"</f>
        <v>FOR</v>
      </c>
      <c r="O1950" t="s">
        <v>69</v>
      </c>
      <c r="P1950" t="s">
        <v>75</v>
      </c>
      <c r="Q1950">
        <v>2016</v>
      </c>
      <c r="R1950" s="4">
        <v>42674</v>
      </c>
      <c r="S1950" s="2">
        <v>42683</v>
      </c>
      <c r="T1950" s="2">
        <v>42678</v>
      </c>
      <c r="U1950" s="4">
        <v>42738</v>
      </c>
      <c r="V1950" t="s">
        <v>71</v>
      </c>
      <c r="W1950" t="str">
        <f>"             4732/03"</f>
        <v xml:space="preserve">             4732/03</v>
      </c>
      <c r="X1950">
        <v>572</v>
      </c>
      <c r="Y1950">
        <v>0</v>
      </c>
      <c r="Z1950" s="5">
        <v>550</v>
      </c>
      <c r="AA1950" s="3">
        <v>30</v>
      </c>
      <c r="AB1950" s="5">
        <v>16500</v>
      </c>
      <c r="AC1950">
        <v>550</v>
      </c>
      <c r="AD1950">
        <v>30</v>
      </c>
      <c r="AE1950" s="1">
        <v>16500</v>
      </c>
      <c r="AF1950">
        <v>0</v>
      </c>
      <c r="AJ1950">
        <v>0</v>
      </c>
      <c r="AK1950">
        <v>0</v>
      </c>
      <c r="AL1950">
        <v>0</v>
      </c>
      <c r="AM1950">
        <v>0</v>
      </c>
      <c r="AN1950">
        <v>0</v>
      </c>
      <c r="AO1950">
        <v>0</v>
      </c>
      <c r="AP1950" s="2">
        <v>42831</v>
      </c>
      <c r="AQ1950" t="s">
        <v>72</v>
      </c>
      <c r="AR1950" t="s">
        <v>72</v>
      </c>
      <c r="AS1950">
        <v>251</v>
      </c>
      <c r="AT1950" s="4">
        <v>42768</v>
      </c>
      <c r="AU1950" t="s">
        <v>73</v>
      </c>
      <c r="AV1950">
        <v>251</v>
      </c>
      <c r="AW1950" s="4">
        <v>42768</v>
      </c>
      <c r="BD1950">
        <v>0</v>
      </c>
      <c r="BN1950" t="s">
        <v>74</v>
      </c>
    </row>
    <row r="1951" spans="1:66">
      <c r="A1951">
        <v>104379</v>
      </c>
      <c r="B1951" t="s">
        <v>403</v>
      </c>
      <c r="C1951" s="1">
        <v>43300101</v>
      </c>
      <c r="D1951" t="s">
        <v>67</v>
      </c>
      <c r="H1951" t="str">
        <f t="shared" si="248"/>
        <v>07668030583</v>
      </c>
      <c r="I1951" t="str">
        <f t="shared" si="249"/>
        <v>01836081008</v>
      </c>
      <c r="K1951" t="str">
        <f>""</f>
        <v/>
      </c>
      <c r="M1951" t="s">
        <v>68</v>
      </c>
      <c r="N1951" t="str">
        <f t="shared" si="250"/>
        <v>FOR</v>
      </c>
      <c r="O1951" t="s">
        <v>69</v>
      </c>
      <c r="P1951" t="s">
        <v>75</v>
      </c>
      <c r="Q1951">
        <v>2016</v>
      </c>
      <c r="R1951" s="4">
        <v>42674</v>
      </c>
      <c r="S1951" s="2">
        <v>42683</v>
      </c>
      <c r="T1951" s="2">
        <v>42678</v>
      </c>
      <c r="U1951" s="4">
        <v>42738</v>
      </c>
      <c r="V1951" t="s">
        <v>71</v>
      </c>
      <c r="W1951" t="str">
        <f>"             4733/03"</f>
        <v xml:space="preserve">             4733/03</v>
      </c>
      <c r="X1951">
        <v>144.56</v>
      </c>
      <c r="Y1951">
        <v>0</v>
      </c>
      <c r="Z1951" s="5">
        <v>139</v>
      </c>
      <c r="AA1951" s="3">
        <v>30</v>
      </c>
      <c r="AB1951" s="5">
        <v>4170</v>
      </c>
      <c r="AC1951">
        <v>139</v>
      </c>
      <c r="AD1951">
        <v>30</v>
      </c>
      <c r="AE1951" s="1">
        <v>4170</v>
      </c>
      <c r="AF1951">
        <v>0</v>
      </c>
      <c r="AJ1951">
        <v>0</v>
      </c>
      <c r="AK1951">
        <v>0</v>
      </c>
      <c r="AL1951">
        <v>0</v>
      </c>
      <c r="AM1951">
        <v>0</v>
      </c>
      <c r="AN1951">
        <v>0</v>
      </c>
      <c r="AO1951">
        <v>0</v>
      </c>
      <c r="AP1951" s="2">
        <v>42831</v>
      </c>
      <c r="AQ1951" t="s">
        <v>72</v>
      </c>
      <c r="AR1951" t="s">
        <v>72</v>
      </c>
      <c r="AS1951">
        <v>251</v>
      </c>
      <c r="AT1951" s="4">
        <v>42768</v>
      </c>
      <c r="AU1951" t="s">
        <v>73</v>
      </c>
      <c r="AV1951">
        <v>251</v>
      </c>
      <c r="AW1951" s="4">
        <v>42768</v>
      </c>
      <c r="BD1951">
        <v>0</v>
      </c>
      <c r="BN1951" t="s">
        <v>74</v>
      </c>
    </row>
    <row r="1952" spans="1:66">
      <c r="A1952">
        <v>104379</v>
      </c>
      <c r="B1952" t="s">
        <v>403</v>
      </c>
      <c r="C1952" s="1">
        <v>43300101</v>
      </c>
      <c r="D1952" t="s">
        <v>67</v>
      </c>
      <c r="H1952" t="str">
        <f t="shared" si="248"/>
        <v>07668030583</v>
      </c>
      <c r="I1952" t="str">
        <f t="shared" si="249"/>
        <v>01836081008</v>
      </c>
      <c r="K1952" t="str">
        <f>""</f>
        <v/>
      </c>
      <c r="M1952" t="s">
        <v>68</v>
      </c>
      <c r="N1952" t="str">
        <f t="shared" si="250"/>
        <v>FOR</v>
      </c>
      <c r="O1952" t="s">
        <v>69</v>
      </c>
      <c r="P1952" t="s">
        <v>75</v>
      </c>
      <c r="Q1952">
        <v>2016</v>
      </c>
      <c r="R1952" s="4">
        <v>42674</v>
      </c>
      <c r="S1952" s="2">
        <v>42683</v>
      </c>
      <c r="T1952" s="2">
        <v>42678</v>
      </c>
      <c r="U1952" s="4">
        <v>42738</v>
      </c>
      <c r="V1952" t="s">
        <v>71</v>
      </c>
      <c r="W1952" t="str">
        <f>"             4734/03"</f>
        <v xml:space="preserve">             4734/03</v>
      </c>
      <c r="X1952">
        <v>144.56</v>
      </c>
      <c r="Y1952">
        <v>0</v>
      </c>
      <c r="Z1952" s="5">
        <v>139</v>
      </c>
      <c r="AA1952" s="3">
        <v>30</v>
      </c>
      <c r="AB1952" s="5">
        <v>4170</v>
      </c>
      <c r="AC1952">
        <v>139</v>
      </c>
      <c r="AD1952">
        <v>30</v>
      </c>
      <c r="AE1952" s="1">
        <v>4170</v>
      </c>
      <c r="AF1952">
        <v>0</v>
      </c>
      <c r="AJ1952">
        <v>0</v>
      </c>
      <c r="AK1952">
        <v>0</v>
      </c>
      <c r="AL1952">
        <v>0</v>
      </c>
      <c r="AM1952">
        <v>0</v>
      </c>
      <c r="AN1952">
        <v>0</v>
      </c>
      <c r="AO1952">
        <v>0</v>
      </c>
      <c r="AP1952" s="2">
        <v>42831</v>
      </c>
      <c r="AQ1952" t="s">
        <v>72</v>
      </c>
      <c r="AR1952" t="s">
        <v>72</v>
      </c>
      <c r="AS1952">
        <v>251</v>
      </c>
      <c r="AT1952" s="4">
        <v>42768</v>
      </c>
      <c r="AU1952" t="s">
        <v>73</v>
      </c>
      <c r="AV1952">
        <v>251</v>
      </c>
      <c r="AW1952" s="4">
        <v>42768</v>
      </c>
      <c r="BD1952">
        <v>0</v>
      </c>
      <c r="BN1952" t="s">
        <v>74</v>
      </c>
    </row>
    <row r="1953" spans="1:66">
      <c r="A1953">
        <v>104379</v>
      </c>
      <c r="B1953" t="s">
        <v>403</v>
      </c>
      <c r="C1953" s="1">
        <v>43300101</v>
      </c>
      <c r="D1953" t="s">
        <v>67</v>
      </c>
      <c r="H1953" t="str">
        <f t="shared" si="248"/>
        <v>07668030583</v>
      </c>
      <c r="I1953" t="str">
        <f t="shared" si="249"/>
        <v>01836081008</v>
      </c>
      <c r="K1953" t="str">
        <f>""</f>
        <v/>
      </c>
      <c r="M1953" t="s">
        <v>68</v>
      </c>
      <c r="N1953" t="str">
        <f t="shared" si="250"/>
        <v>FOR</v>
      </c>
      <c r="O1953" t="s">
        <v>69</v>
      </c>
      <c r="P1953" t="s">
        <v>75</v>
      </c>
      <c r="Q1953">
        <v>2016</v>
      </c>
      <c r="R1953" s="4">
        <v>42674</v>
      </c>
      <c r="S1953" s="2">
        <v>42683</v>
      </c>
      <c r="T1953" s="2">
        <v>42678</v>
      </c>
      <c r="U1953" s="4">
        <v>42738</v>
      </c>
      <c r="V1953" t="s">
        <v>71</v>
      </c>
      <c r="W1953" t="str">
        <f>"             4735/03"</f>
        <v xml:space="preserve">             4735/03</v>
      </c>
      <c r="X1953">
        <v>520</v>
      </c>
      <c r="Y1953">
        <v>0</v>
      </c>
      <c r="Z1953" s="5">
        <v>500</v>
      </c>
      <c r="AA1953" s="3">
        <v>30</v>
      </c>
      <c r="AB1953" s="5">
        <v>15000</v>
      </c>
      <c r="AC1953">
        <v>500</v>
      </c>
      <c r="AD1953">
        <v>30</v>
      </c>
      <c r="AE1953" s="1">
        <v>15000</v>
      </c>
      <c r="AF1953">
        <v>0</v>
      </c>
      <c r="AJ1953">
        <v>0</v>
      </c>
      <c r="AK1953">
        <v>0</v>
      </c>
      <c r="AL1953">
        <v>0</v>
      </c>
      <c r="AM1953">
        <v>0</v>
      </c>
      <c r="AN1953">
        <v>0</v>
      </c>
      <c r="AO1953">
        <v>0</v>
      </c>
      <c r="AP1953" s="2">
        <v>42831</v>
      </c>
      <c r="AQ1953" t="s">
        <v>72</v>
      </c>
      <c r="AR1953" t="s">
        <v>72</v>
      </c>
      <c r="AS1953">
        <v>251</v>
      </c>
      <c r="AT1953" s="4">
        <v>42768</v>
      </c>
      <c r="AU1953" t="s">
        <v>73</v>
      </c>
      <c r="AV1953">
        <v>251</v>
      </c>
      <c r="AW1953" s="4">
        <v>42768</v>
      </c>
      <c r="BD1953">
        <v>0</v>
      </c>
      <c r="BN1953" t="s">
        <v>74</v>
      </c>
    </row>
    <row r="1954" spans="1:66">
      <c r="A1954">
        <v>104379</v>
      </c>
      <c r="B1954" t="s">
        <v>403</v>
      </c>
      <c r="C1954" s="1">
        <v>43300101</v>
      </c>
      <c r="D1954" t="s">
        <v>67</v>
      </c>
      <c r="H1954" t="str">
        <f t="shared" si="248"/>
        <v>07668030583</v>
      </c>
      <c r="I1954" t="str">
        <f t="shared" si="249"/>
        <v>01836081008</v>
      </c>
      <c r="K1954" t="str">
        <f>""</f>
        <v/>
      </c>
      <c r="M1954" t="s">
        <v>68</v>
      </c>
      <c r="N1954" t="str">
        <f t="shared" si="250"/>
        <v>FOR</v>
      </c>
      <c r="O1954" t="s">
        <v>69</v>
      </c>
      <c r="P1954" t="s">
        <v>75</v>
      </c>
      <c r="Q1954">
        <v>2016</v>
      </c>
      <c r="R1954" s="4">
        <v>42674</v>
      </c>
      <c r="S1954" s="2">
        <v>42683</v>
      </c>
      <c r="T1954" s="2">
        <v>42678</v>
      </c>
      <c r="U1954" s="4">
        <v>42738</v>
      </c>
      <c r="V1954" t="s">
        <v>71</v>
      </c>
      <c r="W1954" t="str">
        <f>"             4736/03"</f>
        <v xml:space="preserve">             4736/03</v>
      </c>
      <c r="X1954">
        <v>144.56</v>
      </c>
      <c r="Y1954">
        <v>0</v>
      </c>
      <c r="Z1954" s="5">
        <v>139</v>
      </c>
      <c r="AA1954" s="3">
        <v>30</v>
      </c>
      <c r="AB1954" s="5">
        <v>4170</v>
      </c>
      <c r="AC1954">
        <v>139</v>
      </c>
      <c r="AD1954">
        <v>30</v>
      </c>
      <c r="AE1954" s="1">
        <v>4170</v>
      </c>
      <c r="AF1954">
        <v>0</v>
      </c>
      <c r="AJ1954">
        <v>0</v>
      </c>
      <c r="AK1954">
        <v>0</v>
      </c>
      <c r="AL1954">
        <v>0</v>
      </c>
      <c r="AM1954">
        <v>0</v>
      </c>
      <c r="AN1954">
        <v>0</v>
      </c>
      <c r="AO1954">
        <v>0</v>
      </c>
      <c r="AP1954" s="2">
        <v>42831</v>
      </c>
      <c r="AQ1954" t="s">
        <v>72</v>
      </c>
      <c r="AR1954" t="s">
        <v>72</v>
      </c>
      <c r="AS1954">
        <v>251</v>
      </c>
      <c r="AT1954" s="4">
        <v>42768</v>
      </c>
      <c r="AU1954" t="s">
        <v>73</v>
      </c>
      <c r="AV1954">
        <v>251</v>
      </c>
      <c r="AW1954" s="4">
        <v>42768</v>
      </c>
      <c r="BD1954">
        <v>0</v>
      </c>
      <c r="BN1954" t="s">
        <v>74</v>
      </c>
    </row>
    <row r="1955" spans="1:66">
      <c r="A1955">
        <v>104379</v>
      </c>
      <c r="B1955" t="s">
        <v>403</v>
      </c>
      <c r="C1955" s="1">
        <v>43300101</v>
      </c>
      <c r="D1955" t="s">
        <v>67</v>
      </c>
      <c r="H1955" t="str">
        <f t="shared" si="248"/>
        <v>07668030583</v>
      </c>
      <c r="I1955" t="str">
        <f t="shared" si="249"/>
        <v>01836081008</v>
      </c>
      <c r="K1955" t="str">
        <f>""</f>
        <v/>
      </c>
      <c r="M1955" t="s">
        <v>68</v>
      </c>
      <c r="N1955" t="str">
        <f t="shared" si="250"/>
        <v>FOR</v>
      </c>
      <c r="O1955" t="s">
        <v>69</v>
      </c>
      <c r="P1955" t="s">
        <v>75</v>
      </c>
      <c r="Q1955">
        <v>2016</v>
      </c>
      <c r="R1955" s="4">
        <v>42704</v>
      </c>
      <c r="S1955" s="2">
        <v>42711</v>
      </c>
      <c r="T1955" s="2">
        <v>42705</v>
      </c>
      <c r="U1955" s="4">
        <v>42765</v>
      </c>
      <c r="V1955" t="s">
        <v>71</v>
      </c>
      <c r="W1955" t="str">
        <f>"             4995/03"</f>
        <v xml:space="preserve">             4995/03</v>
      </c>
      <c r="X1955">
        <v>144.56</v>
      </c>
      <c r="Y1955">
        <v>0</v>
      </c>
      <c r="Z1955" s="5">
        <v>139</v>
      </c>
      <c r="AA1955" s="3">
        <v>3</v>
      </c>
      <c r="AB1955" s="3">
        <v>417</v>
      </c>
      <c r="AC1955">
        <v>139</v>
      </c>
      <c r="AD1955">
        <v>3</v>
      </c>
      <c r="AE1955">
        <v>417</v>
      </c>
      <c r="AF1955">
        <v>0</v>
      </c>
      <c r="AJ1955">
        <v>0</v>
      </c>
      <c r="AK1955">
        <v>0</v>
      </c>
      <c r="AL1955">
        <v>0</v>
      </c>
      <c r="AM1955">
        <v>0</v>
      </c>
      <c r="AN1955">
        <v>0</v>
      </c>
      <c r="AO1955">
        <v>0</v>
      </c>
      <c r="AP1955" s="2">
        <v>42831</v>
      </c>
      <c r="AQ1955" t="s">
        <v>72</v>
      </c>
      <c r="AR1955" t="s">
        <v>72</v>
      </c>
      <c r="AS1955">
        <v>251</v>
      </c>
      <c r="AT1955" s="4">
        <v>42768</v>
      </c>
      <c r="AU1955" t="s">
        <v>73</v>
      </c>
      <c r="AV1955">
        <v>251</v>
      </c>
      <c r="AW1955" s="4">
        <v>42768</v>
      </c>
      <c r="BD1955">
        <v>0</v>
      </c>
      <c r="BN1955" t="s">
        <v>74</v>
      </c>
    </row>
    <row r="1956" spans="1:66">
      <c r="A1956">
        <v>104379</v>
      </c>
      <c r="B1956" t="s">
        <v>403</v>
      </c>
      <c r="C1956" s="1">
        <v>43300101</v>
      </c>
      <c r="D1956" t="s">
        <v>67</v>
      </c>
      <c r="H1956" t="str">
        <f t="shared" si="248"/>
        <v>07668030583</v>
      </c>
      <c r="I1956" t="str">
        <f t="shared" si="249"/>
        <v>01836081008</v>
      </c>
      <c r="K1956" t="str">
        <f>""</f>
        <v/>
      </c>
      <c r="M1956" t="s">
        <v>68</v>
      </c>
      <c r="N1956" t="str">
        <f t="shared" si="250"/>
        <v>FOR</v>
      </c>
      <c r="O1956" t="s">
        <v>69</v>
      </c>
      <c r="P1956" t="s">
        <v>75</v>
      </c>
      <c r="Q1956">
        <v>2016</v>
      </c>
      <c r="R1956" s="4">
        <v>42704</v>
      </c>
      <c r="S1956" s="2">
        <v>42711</v>
      </c>
      <c r="T1956" s="2">
        <v>42705</v>
      </c>
      <c r="U1956" s="4">
        <v>42765</v>
      </c>
      <c r="V1956" t="s">
        <v>71</v>
      </c>
      <c r="W1956" t="str">
        <f>"             4996/03"</f>
        <v xml:space="preserve">             4996/03</v>
      </c>
      <c r="X1956">
        <v>572</v>
      </c>
      <c r="Y1956">
        <v>0</v>
      </c>
      <c r="Z1956" s="5">
        <v>550</v>
      </c>
      <c r="AA1956" s="3">
        <v>3</v>
      </c>
      <c r="AB1956" s="5">
        <v>1650</v>
      </c>
      <c r="AC1956">
        <v>550</v>
      </c>
      <c r="AD1956">
        <v>3</v>
      </c>
      <c r="AE1956" s="1">
        <v>1650</v>
      </c>
      <c r="AF1956">
        <v>0</v>
      </c>
      <c r="AJ1956">
        <v>0</v>
      </c>
      <c r="AK1956">
        <v>0</v>
      </c>
      <c r="AL1956">
        <v>0</v>
      </c>
      <c r="AM1956">
        <v>0</v>
      </c>
      <c r="AN1956">
        <v>0</v>
      </c>
      <c r="AO1956">
        <v>0</v>
      </c>
      <c r="AP1956" s="2">
        <v>42831</v>
      </c>
      <c r="AQ1956" t="s">
        <v>72</v>
      </c>
      <c r="AR1956" t="s">
        <v>72</v>
      </c>
      <c r="AS1956">
        <v>251</v>
      </c>
      <c r="AT1956" s="4">
        <v>42768</v>
      </c>
      <c r="AU1956" t="s">
        <v>73</v>
      </c>
      <c r="AV1956">
        <v>251</v>
      </c>
      <c r="AW1956" s="4">
        <v>42768</v>
      </c>
      <c r="BD1956">
        <v>0</v>
      </c>
      <c r="BN1956" t="s">
        <v>74</v>
      </c>
    </row>
    <row r="1957" spans="1:66">
      <c r="A1957">
        <v>104379</v>
      </c>
      <c r="B1957" t="s">
        <v>403</v>
      </c>
      <c r="C1957" s="1">
        <v>43300101</v>
      </c>
      <c r="D1957" t="s">
        <v>67</v>
      </c>
      <c r="H1957" t="str">
        <f t="shared" si="248"/>
        <v>07668030583</v>
      </c>
      <c r="I1957" t="str">
        <f t="shared" si="249"/>
        <v>01836081008</v>
      </c>
      <c r="K1957" t="str">
        <f>""</f>
        <v/>
      </c>
      <c r="M1957" t="s">
        <v>68</v>
      </c>
      <c r="N1957" t="str">
        <f t="shared" si="250"/>
        <v>FOR</v>
      </c>
      <c r="O1957" t="s">
        <v>69</v>
      </c>
      <c r="P1957" t="s">
        <v>75</v>
      </c>
      <c r="Q1957">
        <v>2016</v>
      </c>
      <c r="R1957" s="4">
        <v>42704</v>
      </c>
      <c r="S1957" s="2">
        <v>42711</v>
      </c>
      <c r="T1957" s="2">
        <v>42705</v>
      </c>
      <c r="U1957" s="4">
        <v>42765</v>
      </c>
      <c r="V1957" t="s">
        <v>71</v>
      </c>
      <c r="W1957" t="str">
        <f>"             4997/03"</f>
        <v xml:space="preserve">             4997/03</v>
      </c>
      <c r="X1957">
        <v>144.56</v>
      </c>
      <c r="Y1957">
        <v>0</v>
      </c>
      <c r="Z1957" s="5">
        <v>139</v>
      </c>
      <c r="AA1957" s="3">
        <v>9</v>
      </c>
      <c r="AB1957" s="5">
        <v>1251</v>
      </c>
      <c r="AC1957">
        <v>139</v>
      </c>
      <c r="AD1957">
        <v>9</v>
      </c>
      <c r="AE1957" s="1">
        <v>1251</v>
      </c>
      <c r="AF1957">
        <v>0</v>
      </c>
      <c r="AJ1957">
        <v>0</v>
      </c>
      <c r="AK1957">
        <v>0</v>
      </c>
      <c r="AL1957">
        <v>0</v>
      </c>
      <c r="AM1957">
        <v>0</v>
      </c>
      <c r="AN1957">
        <v>0</v>
      </c>
      <c r="AO1957">
        <v>0</v>
      </c>
      <c r="AP1957" s="2">
        <v>42831</v>
      </c>
      <c r="AQ1957" t="s">
        <v>72</v>
      </c>
      <c r="AR1957" t="s">
        <v>72</v>
      </c>
      <c r="AS1957">
        <v>318</v>
      </c>
      <c r="AT1957" s="4">
        <v>42774</v>
      </c>
      <c r="AU1957" t="s">
        <v>73</v>
      </c>
      <c r="AV1957">
        <v>318</v>
      </c>
      <c r="AW1957" s="4">
        <v>42774</v>
      </c>
      <c r="BD1957">
        <v>0</v>
      </c>
      <c r="BN1957" t="s">
        <v>74</v>
      </c>
    </row>
    <row r="1958" spans="1:66">
      <c r="A1958">
        <v>104379</v>
      </c>
      <c r="B1958" t="s">
        <v>403</v>
      </c>
      <c r="C1958" s="1">
        <v>43300101</v>
      </c>
      <c r="D1958" t="s">
        <v>67</v>
      </c>
      <c r="H1958" t="str">
        <f t="shared" si="248"/>
        <v>07668030583</v>
      </c>
      <c r="I1958" t="str">
        <f t="shared" si="249"/>
        <v>01836081008</v>
      </c>
      <c r="K1958" t="str">
        <f>""</f>
        <v/>
      </c>
      <c r="M1958" t="s">
        <v>68</v>
      </c>
      <c r="N1958" t="str">
        <f t="shared" si="250"/>
        <v>FOR</v>
      </c>
      <c r="O1958" t="s">
        <v>69</v>
      </c>
      <c r="P1958" t="s">
        <v>75</v>
      </c>
      <c r="Q1958">
        <v>2016</v>
      </c>
      <c r="R1958" s="4">
        <v>42704</v>
      </c>
      <c r="S1958" s="2">
        <v>42711</v>
      </c>
      <c r="T1958" s="2">
        <v>42705</v>
      </c>
      <c r="U1958" s="4">
        <v>42765</v>
      </c>
      <c r="V1958" t="s">
        <v>71</v>
      </c>
      <c r="W1958" t="str">
        <f>"             4998/03"</f>
        <v xml:space="preserve">             4998/03</v>
      </c>
      <c r="X1958">
        <v>144.56</v>
      </c>
      <c r="Y1958">
        <v>0</v>
      </c>
      <c r="Z1958" s="5">
        <v>139</v>
      </c>
      <c r="AA1958" s="3">
        <v>3</v>
      </c>
      <c r="AB1958" s="3">
        <v>417</v>
      </c>
      <c r="AC1958">
        <v>139</v>
      </c>
      <c r="AD1958">
        <v>3</v>
      </c>
      <c r="AE1958">
        <v>417</v>
      </c>
      <c r="AF1958">
        <v>0</v>
      </c>
      <c r="AJ1958">
        <v>0</v>
      </c>
      <c r="AK1958">
        <v>0</v>
      </c>
      <c r="AL1958">
        <v>0</v>
      </c>
      <c r="AM1958">
        <v>0</v>
      </c>
      <c r="AN1958">
        <v>0</v>
      </c>
      <c r="AO1958">
        <v>0</v>
      </c>
      <c r="AP1958" s="2">
        <v>42831</v>
      </c>
      <c r="AQ1958" t="s">
        <v>72</v>
      </c>
      <c r="AR1958" t="s">
        <v>72</v>
      </c>
      <c r="AS1958">
        <v>251</v>
      </c>
      <c r="AT1958" s="4">
        <v>42768</v>
      </c>
      <c r="AU1958" t="s">
        <v>73</v>
      </c>
      <c r="AV1958">
        <v>251</v>
      </c>
      <c r="AW1958" s="4">
        <v>42768</v>
      </c>
      <c r="BD1958">
        <v>0</v>
      </c>
      <c r="BN1958" t="s">
        <v>74</v>
      </c>
    </row>
    <row r="1959" spans="1:66">
      <c r="A1959">
        <v>104379</v>
      </c>
      <c r="B1959" t="s">
        <v>403</v>
      </c>
      <c r="C1959" s="1">
        <v>43300101</v>
      </c>
      <c r="D1959" t="s">
        <v>67</v>
      </c>
      <c r="H1959" t="str">
        <f t="shared" si="248"/>
        <v>07668030583</v>
      </c>
      <c r="I1959" t="str">
        <f t="shared" si="249"/>
        <v>01836081008</v>
      </c>
      <c r="K1959" t="str">
        <f>""</f>
        <v/>
      </c>
      <c r="M1959" t="s">
        <v>68</v>
      </c>
      <c r="N1959" t="str">
        <f t="shared" si="250"/>
        <v>FOR</v>
      </c>
      <c r="O1959" t="s">
        <v>69</v>
      </c>
      <c r="P1959" t="s">
        <v>75</v>
      </c>
      <c r="Q1959">
        <v>2016</v>
      </c>
      <c r="R1959" s="4">
        <v>42704</v>
      </c>
      <c r="S1959" s="2">
        <v>42711</v>
      </c>
      <c r="T1959" s="2">
        <v>42705</v>
      </c>
      <c r="U1959" s="4">
        <v>42765</v>
      </c>
      <c r="V1959" t="s">
        <v>71</v>
      </c>
      <c r="W1959" t="str">
        <f>"             4999/03"</f>
        <v xml:space="preserve">             4999/03</v>
      </c>
      <c r="X1959">
        <v>144.56</v>
      </c>
      <c r="Y1959">
        <v>0</v>
      </c>
      <c r="Z1959" s="5">
        <v>139</v>
      </c>
      <c r="AA1959" s="3">
        <v>3</v>
      </c>
      <c r="AB1959" s="3">
        <v>417</v>
      </c>
      <c r="AC1959">
        <v>139</v>
      </c>
      <c r="AD1959">
        <v>3</v>
      </c>
      <c r="AE1959">
        <v>417</v>
      </c>
      <c r="AF1959">
        <v>0</v>
      </c>
      <c r="AJ1959">
        <v>0</v>
      </c>
      <c r="AK1959">
        <v>0</v>
      </c>
      <c r="AL1959">
        <v>0</v>
      </c>
      <c r="AM1959">
        <v>0</v>
      </c>
      <c r="AN1959">
        <v>0</v>
      </c>
      <c r="AO1959">
        <v>0</v>
      </c>
      <c r="AP1959" s="2">
        <v>42831</v>
      </c>
      <c r="AQ1959" t="s">
        <v>72</v>
      </c>
      <c r="AR1959" t="s">
        <v>72</v>
      </c>
      <c r="AS1959">
        <v>251</v>
      </c>
      <c r="AT1959" s="4">
        <v>42768</v>
      </c>
      <c r="AU1959" t="s">
        <v>73</v>
      </c>
      <c r="AV1959">
        <v>251</v>
      </c>
      <c r="AW1959" s="4">
        <v>42768</v>
      </c>
      <c r="BD1959">
        <v>0</v>
      </c>
      <c r="BN1959" t="s">
        <v>74</v>
      </c>
    </row>
    <row r="1960" spans="1:66">
      <c r="A1960">
        <v>104379</v>
      </c>
      <c r="B1960" t="s">
        <v>403</v>
      </c>
      <c r="C1960" s="1">
        <v>43300101</v>
      </c>
      <c r="D1960" t="s">
        <v>67</v>
      </c>
      <c r="H1960" t="str">
        <f t="shared" si="248"/>
        <v>07668030583</v>
      </c>
      <c r="I1960" t="str">
        <f t="shared" si="249"/>
        <v>01836081008</v>
      </c>
      <c r="K1960" t="str">
        <f>""</f>
        <v/>
      </c>
      <c r="M1960" t="s">
        <v>68</v>
      </c>
      <c r="N1960" t="str">
        <f t="shared" si="250"/>
        <v>FOR</v>
      </c>
      <c r="O1960" t="s">
        <v>69</v>
      </c>
      <c r="P1960" t="s">
        <v>75</v>
      </c>
      <c r="Q1960">
        <v>2016</v>
      </c>
      <c r="R1960" s="4">
        <v>42704</v>
      </c>
      <c r="S1960" s="2">
        <v>42711</v>
      </c>
      <c r="T1960" s="2">
        <v>42710</v>
      </c>
      <c r="U1960" s="4">
        <v>42770</v>
      </c>
      <c r="V1960" t="s">
        <v>71</v>
      </c>
      <c r="W1960" t="str">
        <f>"             5217/03"</f>
        <v xml:space="preserve">             5217/03</v>
      </c>
      <c r="X1960">
        <v>144.56</v>
      </c>
      <c r="Y1960">
        <v>0</v>
      </c>
      <c r="Z1960" s="5">
        <v>139</v>
      </c>
      <c r="AA1960" s="3">
        <v>-2</v>
      </c>
      <c r="AB1960" s="3">
        <v>-278</v>
      </c>
      <c r="AC1960">
        <v>139</v>
      </c>
      <c r="AD1960">
        <v>-2</v>
      </c>
      <c r="AE1960">
        <v>-278</v>
      </c>
      <c r="AF1960">
        <v>0</v>
      </c>
      <c r="AJ1960">
        <v>0</v>
      </c>
      <c r="AK1960">
        <v>0</v>
      </c>
      <c r="AL1960">
        <v>0</v>
      </c>
      <c r="AM1960">
        <v>0</v>
      </c>
      <c r="AN1960">
        <v>0</v>
      </c>
      <c r="AO1960">
        <v>0</v>
      </c>
      <c r="AP1960" s="2">
        <v>42831</v>
      </c>
      <c r="AQ1960" t="s">
        <v>72</v>
      </c>
      <c r="AR1960" t="s">
        <v>72</v>
      </c>
      <c r="AS1960">
        <v>251</v>
      </c>
      <c r="AT1960" s="4">
        <v>42768</v>
      </c>
      <c r="AV1960">
        <v>251</v>
      </c>
      <c r="AW1960" s="4">
        <v>42768</v>
      </c>
      <c r="BD1960">
        <v>0</v>
      </c>
      <c r="BN1960" t="s">
        <v>74</v>
      </c>
    </row>
    <row r="1961" spans="1:66">
      <c r="A1961">
        <v>104379</v>
      </c>
      <c r="B1961" t="s">
        <v>403</v>
      </c>
      <c r="C1961" s="1">
        <v>43300101</v>
      </c>
      <c r="D1961" t="s">
        <v>67</v>
      </c>
      <c r="H1961" t="str">
        <f t="shared" si="248"/>
        <v>07668030583</v>
      </c>
      <c r="I1961" t="str">
        <f t="shared" si="249"/>
        <v>01836081008</v>
      </c>
      <c r="K1961" t="str">
        <f>""</f>
        <v/>
      </c>
      <c r="M1961" t="s">
        <v>68</v>
      </c>
      <c r="N1961" t="str">
        <f t="shared" si="250"/>
        <v>FOR</v>
      </c>
      <c r="O1961" t="s">
        <v>69</v>
      </c>
      <c r="P1961" t="s">
        <v>75</v>
      </c>
      <c r="Q1961">
        <v>2016</v>
      </c>
      <c r="R1961" s="4">
        <v>42704</v>
      </c>
      <c r="S1961" s="2">
        <v>42711</v>
      </c>
      <c r="T1961" s="2">
        <v>42710</v>
      </c>
      <c r="U1961" s="4">
        <v>42770</v>
      </c>
      <c r="V1961" t="s">
        <v>71</v>
      </c>
      <c r="W1961" t="str">
        <f>"             5218/03"</f>
        <v xml:space="preserve">             5218/03</v>
      </c>
      <c r="X1961">
        <v>144.56</v>
      </c>
      <c r="Y1961">
        <v>0</v>
      </c>
      <c r="Z1961" s="5">
        <v>139</v>
      </c>
      <c r="AA1961" s="3">
        <v>-2</v>
      </c>
      <c r="AB1961" s="3">
        <v>-278</v>
      </c>
      <c r="AC1961">
        <v>139</v>
      </c>
      <c r="AD1961">
        <v>-2</v>
      </c>
      <c r="AE1961">
        <v>-278</v>
      </c>
      <c r="AF1961">
        <v>0</v>
      </c>
      <c r="AJ1961">
        <v>0</v>
      </c>
      <c r="AK1961">
        <v>0</v>
      </c>
      <c r="AL1961">
        <v>0</v>
      </c>
      <c r="AM1961">
        <v>0</v>
      </c>
      <c r="AN1961">
        <v>0</v>
      </c>
      <c r="AO1961">
        <v>0</v>
      </c>
      <c r="AP1961" s="2">
        <v>42831</v>
      </c>
      <c r="AQ1961" t="s">
        <v>72</v>
      </c>
      <c r="AR1961" t="s">
        <v>72</v>
      </c>
      <c r="AS1961">
        <v>251</v>
      </c>
      <c r="AT1961" s="4">
        <v>42768</v>
      </c>
      <c r="AV1961">
        <v>251</v>
      </c>
      <c r="AW1961" s="4">
        <v>42768</v>
      </c>
      <c r="BD1961">
        <v>0</v>
      </c>
      <c r="BN1961" t="s">
        <v>74</v>
      </c>
    </row>
    <row r="1962" spans="1:66">
      <c r="A1962">
        <v>104379</v>
      </c>
      <c r="B1962" t="s">
        <v>403</v>
      </c>
      <c r="C1962" s="1">
        <v>43300101</v>
      </c>
      <c r="D1962" t="s">
        <v>67</v>
      </c>
      <c r="H1962" t="str">
        <f t="shared" si="248"/>
        <v>07668030583</v>
      </c>
      <c r="I1962" t="str">
        <f t="shared" si="249"/>
        <v>01836081008</v>
      </c>
      <c r="K1962" t="str">
        <f>""</f>
        <v/>
      </c>
      <c r="M1962" t="s">
        <v>68</v>
      </c>
      <c r="N1962" t="str">
        <f t="shared" si="250"/>
        <v>FOR</v>
      </c>
      <c r="O1962" t="s">
        <v>69</v>
      </c>
      <c r="P1962" t="s">
        <v>75</v>
      </c>
      <c r="Q1962">
        <v>2016</v>
      </c>
      <c r="R1962" s="4">
        <v>42733</v>
      </c>
      <c r="S1962" s="2">
        <v>42735</v>
      </c>
      <c r="T1962" s="2">
        <v>42734</v>
      </c>
      <c r="U1962" s="4">
        <v>42794</v>
      </c>
      <c r="V1962" t="s">
        <v>71</v>
      </c>
      <c r="W1962" t="str">
        <f>"             5534/03"</f>
        <v xml:space="preserve">             5534/03</v>
      </c>
      <c r="X1962">
        <v>572</v>
      </c>
      <c r="Y1962">
        <v>0</v>
      </c>
      <c r="Z1962" s="5">
        <v>550</v>
      </c>
      <c r="AA1962" s="3">
        <v>-20</v>
      </c>
      <c r="AB1962" s="5">
        <v>-11000</v>
      </c>
      <c r="AC1962">
        <v>550</v>
      </c>
      <c r="AD1962">
        <v>-20</v>
      </c>
      <c r="AE1962" s="1">
        <v>-11000</v>
      </c>
      <c r="AF1962">
        <v>0</v>
      </c>
      <c r="AJ1962">
        <v>0</v>
      </c>
      <c r="AK1962">
        <v>0</v>
      </c>
      <c r="AL1962">
        <v>0</v>
      </c>
      <c r="AM1962">
        <v>0</v>
      </c>
      <c r="AN1962">
        <v>0</v>
      </c>
      <c r="AO1962">
        <v>0</v>
      </c>
      <c r="AP1962" s="2">
        <v>42831</v>
      </c>
      <c r="AQ1962" t="s">
        <v>72</v>
      </c>
      <c r="AR1962" t="s">
        <v>72</v>
      </c>
      <c r="AS1962">
        <v>318</v>
      </c>
      <c r="AT1962" s="4">
        <v>42774</v>
      </c>
      <c r="AV1962">
        <v>318</v>
      </c>
      <c r="AW1962" s="4">
        <v>42774</v>
      </c>
      <c r="BD1962">
        <v>0</v>
      </c>
      <c r="BN1962" t="s">
        <v>74</v>
      </c>
    </row>
    <row r="1963" spans="1:66">
      <c r="A1963">
        <v>104379</v>
      </c>
      <c r="B1963" t="s">
        <v>403</v>
      </c>
      <c r="C1963" s="1">
        <v>43300101</v>
      </c>
      <c r="D1963" t="s">
        <v>67</v>
      </c>
      <c r="H1963" t="str">
        <f t="shared" si="248"/>
        <v>07668030583</v>
      </c>
      <c r="I1963" t="str">
        <f t="shared" si="249"/>
        <v>01836081008</v>
      </c>
      <c r="K1963" t="str">
        <f>""</f>
        <v/>
      </c>
      <c r="M1963" t="s">
        <v>68</v>
      </c>
      <c r="N1963" t="str">
        <f t="shared" si="250"/>
        <v>FOR</v>
      </c>
      <c r="O1963" t="s">
        <v>69</v>
      </c>
      <c r="P1963" t="s">
        <v>75</v>
      </c>
      <c r="Q1963">
        <v>2016</v>
      </c>
      <c r="R1963" s="4">
        <v>42733</v>
      </c>
      <c r="S1963" s="2">
        <v>42735</v>
      </c>
      <c r="T1963" s="2">
        <v>42734</v>
      </c>
      <c r="U1963" s="4">
        <v>42794</v>
      </c>
      <c r="V1963" t="s">
        <v>71</v>
      </c>
      <c r="W1963" t="str">
        <f>"             5535/03"</f>
        <v xml:space="preserve">             5535/03</v>
      </c>
      <c r="X1963">
        <v>520</v>
      </c>
      <c r="Y1963">
        <v>0</v>
      </c>
      <c r="Z1963" s="5">
        <v>500</v>
      </c>
      <c r="AA1963" s="3">
        <v>-20</v>
      </c>
      <c r="AB1963" s="5">
        <v>-10000</v>
      </c>
      <c r="AC1963">
        <v>500</v>
      </c>
      <c r="AD1963">
        <v>-20</v>
      </c>
      <c r="AE1963" s="1">
        <v>-10000</v>
      </c>
      <c r="AF1963">
        <v>0</v>
      </c>
      <c r="AJ1963">
        <v>0</v>
      </c>
      <c r="AK1963">
        <v>0</v>
      </c>
      <c r="AL1963">
        <v>0</v>
      </c>
      <c r="AM1963">
        <v>0</v>
      </c>
      <c r="AN1963">
        <v>0</v>
      </c>
      <c r="AO1963">
        <v>0</v>
      </c>
      <c r="AP1963" s="2">
        <v>42831</v>
      </c>
      <c r="AQ1963" t="s">
        <v>72</v>
      </c>
      <c r="AR1963" t="s">
        <v>72</v>
      </c>
      <c r="AS1963">
        <v>318</v>
      </c>
      <c r="AT1963" s="4">
        <v>42774</v>
      </c>
      <c r="AV1963">
        <v>318</v>
      </c>
      <c r="AW1963" s="4">
        <v>42774</v>
      </c>
      <c r="BD1963">
        <v>0</v>
      </c>
      <c r="BN1963" t="s">
        <v>74</v>
      </c>
    </row>
    <row r="1964" spans="1:66">
      <c r="A1964">
        <v>104394</v>
      </c>
      <c r="B1964" t="s">
        <v>404</v>
      </c>
      <c r="C1964" s="1">
        <v>43300101</v>
      </c>
      <c r="D1964" t="s">
        <v>67</v>
      </c>
      <c r="H1964" t="str">
        <f t="shared" ref="H1964:I1971" si="251">"00234290658"</f>
        <v>00234290658</v>
      </c>
      <c r="I1964" t="str">
        <f t="shared" si="251"/>
        <v>00234290658</v>
      </c>
      <c r="K1964" t="str">
        <f>""</f>
        <v/>
      </c>
      <c r="M1964" t="s">
        <v>68</v>
      </c>
      <c r="N1964" t="str">
        <f t="shared" si="250"/>
        <v>FOR</v>
      </c>
      <c r="O1964" t="s">
        <v>69</v>
      </c>
      <c r="P1964" t="s">
        <v>75</v>
      </c>
      <c r="Q1964">
        <v>2016</v>
      </c>
      <c r="R1964" s="4">
        <v>42521</v>
      </c>
      <c r="S1964" s="2">
        <v>42528</v>
      </c>
      <c r="T1964" s="2">
        <v>42528</v>
      </c>
      <c r="U1964" s="4">
        <v>42588</v>
      </c>
      <c r="V1964" t="s">
        <v>71</v>
      </c>
      <c r="W1964" t="str">
        <f>"               5/399"</f>
        <v xml:space="preserve">               5/399</v>
      </c>
      <c r="X1964">
        <v>368.65</v>
      </c>
      <c r="Y1964">
        <v>0</v>
      </c>
      <c r="Z1964" s="5">
        <v>302.17</v>
      </c>
      <c r="AA1964" s="3">
        <v>184</v>
      </c>
      <c r="AB1964" s="5">
        <v>55599.28</v>
      </c>
      <c r="AC1964">
        <v>302.17</v>
      </c>
      <c r="AD1964">
        <v>184</v>
      </c>
      <c r="AE1964" s="1">
        <v>55599.28</v>
      </c>
      <c r="AF1964">
        <v>0</v>
      </c>
      <c r="AJ1964">
        <v>0</v>
      </c>
      <c r="AK1964">
        <v>0</v>
      </c>
      <c r="AL1964">
        <v>0</v>
      </c>
      <c r="AM1964">
        <v>0</v>
      </c>
      <c r="AN1964">
        <v>0</v>
      </c>
      <c r="AO1964">
        <v>0</v>
      </c>
      <c r="AP1964" s="2">
        <v>42831</v>
      </c>
      <c r="AQ1964" t="s">
        <v>72</v>
      </c>
      <c r="AR1964" t="s">
        <v>72</v>
      </c>
      <c r="AS1964">
        <v>300</v>
      </c>
      <c r="AT1964" s="4">
        <v>42772</v>
      </c>
      <c r="AU1964" t="s">
        <v>73</v>
      </c>
      <c r="AV1964">
        <v>300</v>
      </c>
      <c r="AW1964" s="4">
        <v>42772</v>
      </c>
      <c r="BD1964">
        <v>0</v>
      </c>
      <c r="BN1964" t="s">
        <v>74</v>
      </c>
    </row>
    <row r="1965" spans="1:66">
      <c r="A1965">
        <v>104394</v>
      </c>
      <c r="B1965" t="s">
        <v>404</v>
      </c>
      <c r="C1965" s="1">
        <v>43300101</v>
      </c>
      <c r="D1965" t="s">
        <v>67</v>
      </c>
      <c r="H1965" t="str">
        <f t="shared" si="251"/>
        <v>00234290658</v>
      </c>
      <c r="I1965" t="str">
        <f t="shared" si="251"/>
        <v>00234290658</v>
      </c>
      <c r="K1965" t="str">
        <f>""</f>
        <v/>
      </c>
      <c r="M1965" t="s">
        <v>68</v>
      </c>
      <c r="N1965" t="str">
        <f t="shared" si="250"/>
        <v>FOR</v>
      </c>
      <c r="O1965" t="s">
        <v>69</v>
      </c>
      <c r="P1965" t="s">
        <v>75</v>
      </c>
      <c r="Q1965">
        <v>2016</v>
      </c>
      <c r="R1965" s="4">
        <v>42521</v>
      </c>
      <c r="S1965" s="2">
        <v>42528</v>
      </c>
      <c r="T1965" s="2">
        <v>42528</v>
      </c>
      <c r="U1965" s="4">
        <v>42588</v>
      </c>
      <c r="V1965" t="s">
        <v>71</v>
      </c>
      <c r="W1965" t="str">
        <f>"               5/400"</f>
        <v xml:space="preserve">               5/400</v>
      </c>
      <c r="X1965">
        <v>62.77</v>
      </c>
      <c r="Y1965">
        <v>0</v>
      </c>
      <c r="Z1965" s="5">
        <v>51.45</v>
      </c>
      <c r="AA1965" s="3">
        <v>184</v>
      </c>
      <c r="AB1965" s="5">
        <v>9466.7999999999993</v>
      </c>
      <c r="AC1965">
        <v>51.45</v>
      </c>
      <c r="AD1965">
        <v>184</v>
      </c>
      <c r="AE1965" s="1">
        <v>9466.7999999999993</v>
      </c>
      <c r="AF1965">
        <v>0</v>
      </c>
      <c r="AJ1965">
        <v>0</v>
      </c>
      <c r="AK1965">
        <v>0</v>
      </c>
      <c r="AL1965">
        <v>0</v>
      </c>
      <c r="AM1965">
        <v>0</v>
      </c>
      <c r="AN1965">
        <v>0</v>
      </c>
      <c r="AO1965">
        <v>0</v>
      </c>
      <c r="AP1965" s="2">
        <v>42831</v>
      </c>
      <c r="AQ1965" t="s">
        <v>72</v>
      </c>
      <c r="AR1965" t="s">
        <v>72</v>
      </c>
      <c r="AS1965">
        <v>300</v>
      </c>
      <c r="AT1965" s="4">
        <v>42772</v>
      </c>
      <c r="AU1965" t="s">
        <v>73</v>
      </c>
      <c r="AV1965">
        <v>300</v>
      </c>
      <c r="AW1965" s="4">
        <v>42772</v>
      </c>
      <c r="BD1965">
        <v>0</v>
      </c>
      <c r="BN1965" t="s">
        <v>74</v>
      </c>
    </row>
    <row r="1966" spans="1:66">
      <c r="A1966">
        <v>104394</v>
      </c>
      <c r="B1966" t="s">
        <v>404</v>
      </c>
      <c r="C1966" s="1">
        <v>43300101</v>
      </c>
      <c r="D1966" t="s">
        <v>67</v>
      </c>
      <c r="H1966" t="str">
        <f t="shared" si="251"/>
        <v>00234290658</v>
      </c>
      <c r="I1966" t="str">
        <f t="shared" si="251"/>
        <v>00234290658</v>
      </c>
      <c r="K1966" t="str">
        <f>""</f>
        <v/>
      </c>
      <c r="M1966" t="s">
        <v>68</v>
      </c>
      <c r="N1966" t="str">
        <f t="shared" si="250"/>
        <v>FOR</v>
      </c>
      <c r="O1966" t="s">
        <v>69</v>
      </c>
      <c r="P1966" t="s">
        <v>75</v>
      </c>
      <c r="Q1966">
        <v>2016</v>
      </c>
      <c r="R1966" s="4">
        <v>42521</v>
      </c>
      <c r="S1966" s="2">
        <v>42528</v>
      </c>
      <c r="T1966" s="2">
        <v>42528</v>
      </c>
      <c r="U1966" s="4">
        <v>42588</v>
      </c>
      <c r="V1966" t="s">
        <v>71</v>
      </c>
      <c r="W1966" t="str">
        <f>"               5/401"</f>
        <v xml:space="preserve">               5/401</v>
      </c>
      <c r="X1966">
        <v>109.8</v>
      </c>
      <c r="Y1966">
        <v>0</v>
      </c>
      <c r="Z1966" s="5">
        <v>90</v>
      </c>
      <c r="AA1966" s="3">
        <v>184</v>
      </c>
      <c r="AB1966" s="5">
        <v>16560</v>
      </c>
      <c r="AC1966">
        <v>90</v>
      </c>
      <c r="AD1966">
        <v>184</v>
      </c>
      <c r="AE1966" s="1">
        <v>16560</v>
      </c>
      <c r="AF1966">
        <v>0</v>
      </c>
      <c r="AJ1966">
        <v>0</v>
      </c>
      <c r="AK1966">
        <v>0</v>
      </c>
      <c r="AL1966">
        <v>0</v>
      </c>
      <c r="AM1966">
        <v>0</v>
      </c>
      <c r="AN1966">
        <v>0</v>
      </c>
      <c r="AO1966">
        <v>0</v>
      </c>
      <c r="AP1966" s="2">
        <v>42831</v>
      </c>
      <c r="AQ1966" t="s">
        <v>72</v>
      </c>
      <c r="AR1966" t="s">
        <v>72</v>
      </c>
      <c r="AS1966">
        <v>300</v>
      </c>
      <c r="AT1966" s="4">
        <v>42772</v>
      </c>
      <c r="AU1966" t="s">
        <v>73</v>
      </c>
      <c r="AV1966">
        <v>300</v>
      </c>
      <c r="AW1966" s="4">
        <v>42772</v>
      </c>
      <c r="BD1966">
        <v>0</v>
      </c>
      <c r="BN1966" t="s">
        <v>74</v>
      </c>
    </row>
    <row r="1967" spans="1:66">
      <c r="A1967">
        <v>104394</v>
      </c>
      <c r="B1967" t="s">
        <v>404</v>
      </c>
      <c r="C1967" s="1">
        <v>43300101</v>
      </c>
      <c r="D1967" t="s">
        <v>67</v>
      </c>
      <c r="H1967" t="str">
        <f t="shared" si="251"/>
        <v>00234290658</v>
      </c>
      <c r="I1967" t="str">
        <f t="shared" si="251"/>
        <v>00234290658</v>
      </c>
      <c r="K1967" t="str">
        <f>""</f>
        <v/>
      </c>
      <c r="M1967" t="s">
        <v>68</v>
      </c>
      <c r="N1967" t="str">
        <f t="shared" si="250"/>
        <v>FOR</v>
      </c>
      <c r="O1967" t="s">
        <v>69</v>
      </c>
      <c r="P1967" t="s">
        <v>75</v>
      </c>
      <c r="Q1967">
        <v>2016</v>
      </c>
      <c r="R1967" s="4">
        <v>42521</v>
      </c>
      <c r="S1967" s="2">
        <v>42528</v>
      </c>
      <c r="T1967" s="2">
        <v>42528</v>
      </c>
      <c r="U1967" s="4">
        <v>42588</v>
      </c>
      <c r="V1967" t="s">
        <v>71</v>
      </c>
      <c r="W1967" t="str">
        <f>"               5/402"</f>
        <v xml:space="preserve">               5/402</v>
      </c>
      <c r="X1967" s="1">
        <v>116266.27</v>
      </c>
      <c r="Y1967" s="1">
        <v>-20966.05</v>
      </c>
      <c r="Z1967" s="5">
        <v>95300.22</v>
      </c>
      <c r="AA1967" s="3">
        <v>184</v>
      </c>
      <c r="AB1967" s="5">
        <v>17535240.48</v>
      </c>
      <c r="AC1967" s="1">
        <v>95300.22</v>
      </c>
      <c r="AD1967">
        <v>184</v>
      </c>
      <c r="AE1967" s="1">
        <v>17535240.48</v>
      </c>
      <c r="AF1967">
        <v>0</v>
      </c>
      <c r="AJ1967">
        <v>0</v>
      </c>
      <c r="AK1967">
        <v>0</v>
      </c>
      <c r="AL1967">
        <v>0</v>
      </c>
      <c r="AM1967">
        <v>0</v>
      </c>
      <c r="AN1967">
        <v>0</v>
      </c>
      <c r="AO1967">
        <v>0</v>
      </c>
      <c r="AP1967" s="2">
        <v>42831</v>
      </c>
      <c r="AQ1967" t="s">
        <v>72</v>
      </c>
      <c r="AR1967" t="s">
        <v>72</v>
      </c>
      <c r="AS1967">
        <v>300</v>
      </c>
      <c r="AT1967" s="4">
        <v>42772</v>
      </c>
      <c r="AU1967" t="s">
        <v>73</v>
      </c>
      <c r="AV1967">
        <v>300</v>
      </c>
      <c r="AW1967" s="4">
        <v>42772</v>
      </c>
      <c r="BD1967">
        <v>0</v>
      </c>
      <c r="BN1967" t="s">
        <v>74</v>
      </c>
    </row>
    <row r="1968" spans="1:66">
      <c r="A1968">
        <v>104394</v>
      </c>
      <c r="B1968" t="s">
        <v>404</v>
      </c>
      <c r="C1968" s="1">
        <v>43300101</v>
      </c>
      <c r="D1968" t="s">
        <v>67</v>
      </c>
      <c r="H1968" t="str">
        <f t="shared" si="251"/>
        <v>00234290658</v>
      </c>
      <c r="I1968" t="str">
        <f t="shared" si="251"/>
        <v>00234290658</v>
      </c>
      <c r="K1968" t="str">
        <f>""</f>
        <v/>
      </c>
      <c r="M1968" t="s">
        <v>68</v>
      </c>
      <c r="N1968" t="str">
        <f t="shared" si="250"/>
        <v>FOR</v>
      </c>
      <c r="O1968" t="s">
        <v>69</v>
      </c>
      <c r="P1968" t="s">
        <v>75</v>
      </c>
      <c r="Q1968">
        <v>2016</v>
      </c>
      <c r="R1968" s="4">
        <v>42551</v>
      </c>
      <c r="S1968" s="2">
        <v>42556</v>
      </c>
      <c r="T1968" s="2">
        <v>42556</v>
      </c>
      <c r="U1968" s="4">
        <v>42616</v>
      </c>
      <c r="V1968" t="s">
        <v>71</v>
      </c>
      <c r="W1968" t="str">
        <f>"               5/479"</f>
        <v xml:space="preserve">               5/479</v>
      </c>
      <c r="X1968">
        <v>109.8</v>
      </c>
      <c r="Y1968">
        <v>0</v>
      </c>
      <c r="Z1968" s="5">
        <v>90</v>
      </c>
      <c r="AA1968" s="3">
        <v>179</v>
      </c>
      <c r="AB1968" s="5">
        <v>16110</v>
      </c>
      <c r="AC1968">
        <v>90</v>
      </c>
      <c r="AD1968">
        <v>179</v>
      </c>
      <c r="AE1968" s="1">
        <v>16110</v>
      </c>
      <c r="AF1968">
        <v>19.8</v>
      </c>
      <c r="AJ1968">
        <v>0</v>
      </c>
      <c r="AK1968">
        <v>0</v>
      </c>
      <c r="AL1968">
        <v>0</v>
      </c>
      <c r="AM1968">
        <v>0</v>
      </c>
      <c r="AN1968">
        <v>0</v>
      </c>
      <c r="AO1968">
        <v>0</v>
      </c>
      <c r="AP1968" s="2">
        <v>42831</v>
      </c>
      <c r="AQ1968" t="s">
        <v>72</v>
      </c>
      <c r="AR1968" t="s">
        <v>72</v>
      </c>
      <c r="AS1968">
        <v>666</v>
      </c>
      <c r="AT1968" s="4">
        <v>42795</v>
      </c>
      <c r="AU1968" t="s">
        <v>73</v>
      </c>
      <c r="AV1968">
        <v>666</v>
      </c>
      <c r="AW1968" s="4">
        <v>42795</v>
      </c>
      <c r="BD1968">
        <v>19.8</v>
      </c>
      <c r="BN1968" t="s">
        <v>74</v>
      </c>
    </row>
    <row r="1969" spans="1:66">
      <c r="A1969">
        <v>104394</v>
      </c>
      <c r="B1969" t="s">
        <v>404</v>
      </c>
      <c r="C1969" s="1">
        <v>43300101</v>
      </c>
      <c r="D1969" t="s">
        <v>67</v>
      </c>
      <c r="H1969" t="str">
        <f t="shared" si="251"/>
        <v>00234290658</v>
      </c>
      <c r="I1969" t="str">
        <f t="shared" si="251"/>
        <v>00234290658</v>
      </c>
      <c r="K1969" t="str">
        <f>""</f>
        <v/>
      </c>
      <c r="M1969" t="s">
        <v>68</v>
      </c>
      <c r="N1969" t="str">
        <f t="shared" si="250"/>
        <v>FOR</v>
      </c>
      <c r="O1969" t="s">
        <v>69</v>
      </c>
      <c r="P1969" t="s">
        <v>75</v>
      </c>
      <c r="Q1969">
        <v>2016</v>
      </c>
      <c r="R1969" s="4">
        <v>42551</v>
      </c>
      <c r="S1969" s="2">
        <v>42556</v>
      </c>
      <c r="T1969" s="2">
        <v>42556</v>
      </c>
      <c r="U1969" s="4">
        <v>42616</v>
      </c>
      <c r="V1969" t="s">
        <v>71</v>
      </c>
      <c r="W1969" t="str">
        <f>"               5/480"</f>
        <v xml:space="preserve">               5/480</v>
      </c>
      <c r="X1969">
        <v>73.02</v>
      </c>
      <c r="Y1969">
        <v>0</v>
      </c>
      <c r="Z1969" s="5">
        <v>59.85</v>
      </c>
      <c r="AA1969" s="3">
        <v>179</v>
      </c>
      <c r="AB1969" s="5">
        <v>10713.15</v>
      </c>
      <c r="AC1969">
        <v>59.85</v>
      </c>
      <c r="AD1969">
        <v>179</v>
      </c>
      <c r="AE1969" s="1">
        <v>10713.15</v>
      </c>
      <c r="AF1969">
        <v>13.17</v>
      </c>
      <c r="AJ1969">
        <v>0</v>
      </c>
      <c r="AK1969">
        <v>0</v>
      </c>
      <c r="AL1969">
        <v>0</v>
      </c>
      <c r="AM1969">
        <v>0</v>
      </c>
      <c r="AN1969">
        <v>0</v>
      </c>
      <c r="AO1969">
        <v>0</v>
      </c>
      <c r="AP1969" s="2">
        <v>42831</v>
      </c>
      <c r="AQ1969" t="s">
        <v>72</v>
      </c>
      <c r="AR1969" t="s">
        <v>72</v>
      </c>
      <c r="AS1969">
        <v>666</v>
      </c>
      <c r="AT1969" s="4">
        <v>42795</v>
      </c>
      <c r="AU1969" t="s">
        <v>73</v>
      </c>
      <c r="AV1969">
        <v>666</v>
      </c>
      <c r="AW1969" s="4">
        <v>42795</v>
      </c>
      <c r="BD1969">
        <v>13.17</v>
      </c>
      <c r="BN1969" t="s">
        <v>74</v>
      </c>
    </row>
    <row r="1970" spans="1:66">
      <c r="A1970">
        <v>104394</v>
      </c>
      <c r="B1970" t="s">
        <v>404</v>
      </c>
      <c r="C1970" s="1">
        <v>43300101</v>
      </c>
      <c r="D1970" t="s">
        <v>67</v>
      </c>
      <c r="H1970" t="str">
        <f t="shared" si="251"/>
        <v>00234290658</v>
      </c>
      <c r="I1970" t="str">
        <f t="shared" si="251"/>
        <v>00234290658</v>
      </c>
      <c r="K1970" t="str">
        <f>""</f>
        <v/>
      </c>
      <c r="M1970" t="s">
        <v>68</v>
      </c>
      <c r="N1970" t="str">
        <f t="shared" si="250"/>
        <v>FOR</v>
      </c>
      <c r="O1970" t="s">
        <v>69</v>
      </c>
      <c r="P1970" t="s">
        <v>75</v>
      </c>
      <c r="Q1970">
        <v>2016</v>
      </c>
      <c r="R1970" s="4">
        <v>42551</v>
      </c>
      <c r="S1970" s="2">
        <v>42556</v>
      </c>
      <c r="T1970" s="2">
        <v>42556</v>
      </c>
      <c r="U1970" s="4">
        <v>42616</v>
      </c>
      <c r="V1970" t="s">
        <v>71</v>
      </c>
      <c r="W1970" t="str">
        <f>"               5/481"</f>
        <v xml:space="preserve">               5/481</v>
      </c>
      <c r="X1970">
        <v>382.65</v>
      </c>
      <c r="Y1970">
        <v>0</v>
      </c>
      <c r="Z1970" s="5">
        <v>313.64999999999998</v>
      </c>
      <c r="AA1970" s="3">
        <v>179</v>
      </c>
      <c r="AB1970" s="5">
        <v>56143.35</v>
      </c>
      <c r="AC1970">
        <v>313.64999999999998</v>
      </c>
      <c r="AD1970">
        <v>179</v>
      </c>
      <c r="AE1970" s="1">
        <v>56143.35</v>
      </c>
      <c r="AF1970">
        <v>69</v>
      </c>
      <c r="AJ1970">
        <v>0</v>
      </c>
      <c r="AK1970">
        <v>0</v>
      </c>
      <c r="AL1970">
        <v>0</v>
      </c>
      <c r="AM1970">
        <v>0</v>
      </c>
      <c r="AN1970">
        <v>0</v>
      </c>
      <c r="AO1970">
        <v>0</v>
      </c>
      <c r="AP1970" s="2">
        <v>42831</v>
      </c>
      <c r="AQ1970" t="s">
        <v>72</v>
      </c>
      <c r="AR1970" t="s">
        <v>72</v>
      </c>
      <c r="AS1970">
        <v>666</v>
      </c>
      <c r="AT1970" s="4">
        <v>42795</v>
      </c>
      <c r="AU1970" t="s">
        <v>73</v>
      </c>
      <c r="AV1970">
        <v>666</v>
      </c>
      <c r="AW1970" s="4">
        <v>42795</v>
      </c>
      <c r="BD1970">
        <v>69</v>
      </c>
      <c r="BN1970" t="s">
        <v>74</v>
      </c>
    </row>
    <row r="1971" spans="1:66">
      <c r="A1971">
        <v>104394</v>
      </c>
      <c r="B1971" t="s">
        <v>404</v>
      </c>
      <c r="C1971" s="1">
        <v>43300101</v>
      </c>
      <c r="D1971" t="s">
        <v>67</v>
      </c>
      <c r="H1971" t="str">
        <f t="shared" si="251"/>
        <v>00234290658</v>
      </c>
      <c r="I1971" t="str">
        <f t="shared" si="251"/>
        <v>00234290658</v>
      </c>
      <c r="K1971" t="str">
        <f>""</f>
        <v/>
      </c>
      <c r="M1971" t="s">
        <v>68</v>
      </c>
      <c r="N1971" t="str">
        <f t="shared" si="250"/>
        <v>FOR</v>
      </c>
      <c r="O1971" t="s">
        <v>69</v>
      </c>
      <c r="P1971" t="s">
        <v>75</v>
      </c>
      <c r="Q1971">
        <v>2016</v>
      </c>
      <c r="R1971" s="4">
        <v>42551</v>
      </c>
      <c r="S1971" s="2">
        <v>42556</v>
      </c>
      <c r="T1971" s="2">
        <v>42556</v>
      </c>
      <c r="U1971" s="4">
        <v>42616</v>
      </c>
      <c r="V1971" t="s">
        <v>71</v>
      </c>
      <c r="W1971" t="str">
        <f>"               5/482"</f>
        <v xml:space="preserve">               5/482</v>
      </c>
      <c r="X1971" s="1">
        <v>111178.28</v>
      </c>
      <c r="Y1971" s="1">
        <v>-20048.54</v>
      </c>
      <c r="Z1971" s="5">
        <v>91129.74</v>
      </c>
      <c r="AA1971" s="3">
        <v>179</v>
      </c>
      <c r="AB1971" s="5">
        <v>16312223.460000001</v>
      </c>
      <c r="AC1971" s="1">
        <v>91129.74</v>
      </c>
      <c r="AD1971">
        <v>179</v>
      </c>
      <c r="AE1971" s="1">
        <v>16312223.460000001</v>
      </c>
      <c r="AF1971">
        <v>0</v>
      </c>
      <c r="AJ1971">
        <v>0</v>
      </c>
      <c r="AK1971">
        <v>0</v>
      </c>
      <c r="AL1971">
        <v>0</v>
      </c>
      <c r="AM1971">
        <v>0</v>
      </c>
      <c r="AN1971">
        <v>0</v>
      </c>
      <c r="AO1971">
        <v>0</v>
      </c>
      <c r="AP1971" s="2">
        <v>42831</v>
      </c>
      <c r="AQ1971" t="s">
        <v>72</v>
      </c>
      <c r="AR1971" t="s">
        <v>72</v>
      </c>
      <c r="AS1971">
        <v>666</v>
      </c>
      <c r="AT1971" s="4">
        <v>42795</v>
      </c>
      <c r="AU1971" t="s">
        <v>73</v>
      </c>
      <c r="AV1971">
        <v>666</v>
      </c>
      <c r="AW1971" s="4">
        <v>42795</v>
      </c>
      <c r="BD1971">
        <v>0</v>
      </c>
      <c r="BN1971" t="s">
        <v>74</v>
      </c>
    </row>
    <row r="1972" spans="1:66">
      <c r="A1972">
        <v>104487</v>
      </c>
      <c r="B1972" t="s">
        <v>405</v>
      </c>
      <c r="C1972" s="1">
        <v>43300101</v>
      </c>
      <c r="D1972" t="s">
        <v>67</v>
      </c>
      <c r="H1972" t="str">
        <f t="shared" ref="H1972:H1978" si="252">"VSTGTN63B26F839C"</f>
        <v>VSTGTN63B26F839C</v>
      </c>
      <c r="I1972" t="str">
        <f t="shared" ref="I1972:I1978" si="253">"07287630631"</f>
        <v>07287630631</v>
      </c>
      <c r="K1972" t="str">
        <f>""</f>
        <v/>
      </c>
      <c r="M1972" t="s">
        <v>68</v>
      </c>
      <c r="N1972" t="str">
        <f t="shared" si="250"/>
        <v>FOR</v>
      </c>
      <c r="O1972" t="s">
        <v>69</v>
      </c>
      <c r="P1972" t="s">
        <v>75</v>
      </c>
      <c r="Q1972">
        <v>2016</v>
      </c>
      <c r="R1972" s="4">
        <v>42580</v>
      </c>
      <c r="S1972" s="2">
        <v>42628</v>
      </c>
      <c r="T1972" s="2">
        <v>42627</v>
      </c>
      <c r="U1972" s="4">
        <v>42687</v>
      </c>
      <c r="V1972" t="s">
        <v>71</v>
      </c>
      <c r="W1972" t="str">
        <f>"                32/E"</f>
        <v xml:space="preserve">                32/E</v>
      </c>
      <c r="X1972" s="1">
        <v>1317.6</v>
      </c>
      <c r="Y1972">
        <v>0</v>
      </c>
      <c r="Z1972" s="5">
        <v>1080</v>
      </c>
      <c r="AA1972" s="3">
        <v>95</v>
      </c>
      <c r="AB1972" s="5">
        <v>102600</v>
      </c>
      <c r="AC1972" s="1">
        <v>1080</v>
      </c>
      <c r="AD1972">
        <v>95</v>
      </c>
      <c r="AE1972" s="1">
        <v>102600</v>
      </c>
      <c r="AF1972">
        <v>0</v>
      </c>
      <c r="AJ1972">
        <v>0</v>
      </c>
      <c r="AK1972">
        <v>0</v>
      </c>
      <c r="AL1972">
        <v>0</v>
      </c>
      <c r="AM1972">
        <v>0</v>
      </c>
      <c r="AN1972">
        <v>0</v>
      </c>
      <c r="AO1972">
        <v>0</v>
      </c>
      <c r="AP1972" s="2">
        <v>42831</v>
      </c>
      <c r="AQ1972" t="s">
        <v>72</v>
      </c>
      <c r="AR1972" t="s">
        <v>72</v>
      </c>
      <c r="AS1972">
        <v>486</v>
      </c>
      <c r="AT1972" s="4">
        <v>42782</v>
      </c>
      <c r="AU1972" t="s">
        <v>73</v>
      </c>
      <c r="AV1972">
        <v>486</v>
      </c>
      <c r="AW1972" s="4">
        <v>42782</v>
      </c>
      <c r="BD1972">
        <v>0</v>
      </c>
      <c r="BN1972" t="s">
        <v>74</v>
      </c>
    </row>
    <row r="1973" spans="1:66">
      <c r="A1973">
        <v>104487</v>
      </c>
      <c r="B1973" t="s">
        <v>405</v>
      </c>
      <c r="C1973" s="1">
        <v>43300101</v>
      </c>
      <c r="D1973" t="s">
        <v>67</v>
      </c>
      <c r="H1973" t="str">
        <f t="shared" si="252"/>
        <v>VSTGTN63B26F839C</v>
      </c>
      <c r="I1973" t="str">
        <f t="shared" si="253"/>
        <v>07287630631</v>
      </c>
      <c r="K1973" t="str">
        <f>""</f>
        <v/>
      </c>
      <c r="M1973" t="s">
        <v>68</v>
      </c>
      <c r="N1973" t="str">
        <f t="shared" si="250"/>
        <v>FOR</v>
      </c>
      <c r="O1973" t="s">
        <v>69</v>
      </c>
      <c r="P1973" t="s">
        <v>75</v>
      </c>
      <c r="Q1973">
        <v>2016</v>
      </c>
      <c r="R1973" s="4">
        <v>42580</v>
      </c>
      <c r="S1973" s="2">
        <v>42628</v>
      </c>
      <c r="T1973" s="2">
        <v>42627</v>
      </c>
      <c r="U1973" s="4">
        <v>42687</v>
      </c>
      <c r="V1973" t="s">
        <v>71</v>
      </c>
      <c r="W1973" t="str">
        <f>"                38/E"</f>
        <v xml:space="preserve">                38/E</v>
      </c>
      <c r="X1973" s="1">
        <v>10609.56</v>
      </c>
      <c r="Y1973">
        <v>0</v>
      </c>
      <c r="Z1973" s="5">
        <v>10201.5</v>
      </c>
      <c r="AA1973" s="3">
        <v>95</v>
      </c>
      <c r="AB1973" s="5">
        <v>969142.5</v>
      </c>
      <c r="AC1973" s="1">
        <v>10201.5</v>
      </c>
      <c r="AD1973">
        <v>95</v>
      </c>
      <c r="AE1973" s="1">
        <v>969142.5</v>
      </c>
      <c r="AF1973">
        <v>0</v>
      </c>
      <c r="AJ1973">
        <v>0</v>
      </c>
      <c r="AK1973">
        <v>0</v>
      </c>
      <c r="AL1973">
        <v>0</v>
      </c>
      <c r="AM1973">
        <v>0</v>
      </c>
      <c r="AN1973">
        <v>0</v>
      </c>
      <c r="AO1973">
        <v>0</v>
      </c>
      <c r="AP1973" s="2">
        <v>42831</v>
      </c>
      <c r="AQ1973" t="s">
        <v>72</v>
      </c>
      <c r="AR1973" t="s">
        <v>72</v>
      </c>
      <c r="AS1973">
        <v>486</v>
      </c>
      <c r="AT1973" s="4">
        <v>42782</v>
      </c>
      <c r="AU1973" t="s">
        <v>73</v>
      </c>
      <c r="AV1973">
        <v>486</v>
      </c>
      <c r="AW1973" s="4">
        <v>42782</v>
      </c>
      <c r="BD1973">
        <v>0</v>
      </c>
      <c r="BN1973" t="s">
        <v>74</v>
      </c>
    </row>
    <row r="1974" spans="1:66">
      <c r="A1974">
        <v>104487</v>
      </c>
      <c r="B1974" t="s">
        <v>405</v>
      </c>
      <c r="C1974" s="1">
        <v>43300101</v>
      </c>
      <c r="D1974" t="s">
        <v>67</v>
      </c>
      <c r="H1974" t="str">
        <f t="shared" si="252"/>
        <v>VSTGTN63B26F839C</v>
      </c>
      <c r="I1974" t="str">
        <f t="shared" si="253"/>
        <v>07287630631</v>
      </c>
      <c r="K1974" t="str">
        <f>""</f>
        <v/>
      </c>
      <c r="M1974" t="s">
        <v>68</v>
      </c>
      <c r="N1974" t="str">
        <f t="shared" si="250"/>
        <v>FOR</v>
      </c>
      <c r="O1974" t="s">
        <v>69</v>
      </c>
      <c r="P1974" t="s">
        <v>75</v>
      </c>
      <c r="Q1974">
        <v>2016</v>
      </c>
      <c r="R1974" s="4">
        <v>42580</v>
      </c>
      <c r="S1974" s="2">
        <v>42628</v>
      </c>
      <c r="T1974" s="2">
        <v>42627</v>
      </c>
      <c r="U1974" s="4">
        <v>42687</v>
      </c>
      <c r="V1974" t="s">
        <v>71</v>
      </c>
      <c r="W1974" t="str">
        <f>"                39/E"</f>
        <v xml:space="preserve">                39/E</v>
      </c>
      <c r="X1974">
        <v>263.52</v>
      </c>
      <c r="Y1974">
        <v>0</v>
      </c>
      <c r="Z1974" s="5">
        <v>216</v>
      </c>
      <c r="AA1974" s="3">
        <v>95</v>
      </c>
      <c r="AB1974" s="5">
        <v>20520</v>
      </c>
      <c r="AC1974">
        <v>216</v>
      </c>
      <c r="AD1974">
        <v>95</v>
      </c>
      <c r="AE1974" s="1">
        <v>20520</v>
      </c>
      <c r="AF1974">
        <v>0</v>
      </c>
      <c r="AJ1974">
        <v>0</v>
      </c>
      <c r="AK1974">
        <v>0</v>
      </c>
      <c r="AL1974">
        <v>0</v>
      </c>
      <c r="AM1974">
        <v>0</v>
      </c>
      <c r="AN1974">
        <v>0</v>
      </c>
      <c r="AO1974">
        <v>0</v>
      </c>
      <c r="AP1974" s="2">
        <v>42831</v>
      </c>
      <c r="AQ1974" t="s">
        <v>72</v>
      </c>
      <c r="AR1974" t="s">
        <v>72</v>
      </c>
      <c r="AS1974">
        <v>486</v>
      </c>
      <c r="AT1974" s="4">
        <v>42782</v>
      </c>
      <c r="AU1974" t="s">
        <v>73</v>
      </c>
      <c r="AV1974">
        <v>486</v>
      </c>
      <c r="AW1974" s="4">
        <v>42782</v>
      </c>
      <c r="BD1974">
        <v>0</v>
      </c>
      <c r="BN1974" t="s">
        <v>74</v>
      </c>
    </row>
    <row r="1975" spans="1:66">
      <c r="A1975">
        <v>104487</v>
      </c>
      <c r="B1975" t="s">
        <v>405</v>
      </c>
      <c r="C1975" s="1">
        <v>43300101</v>
      </c>
      <c r="D1975" t="s">
        <v>67</v>
      </c>
      <c r="H1975" t="str">
        <f t="shared" si="252"/>
        <v>VSTGTN63B26F839C</v>
      </c>
      <c r="I1975" t="str">
        <f t="shared" si="253"/>
        <v>07287630631</v>
      </c>
      <c r="K1975" t="str">
        <f>""</f>
        <v/>
      </c>
      <c r="M1975" t="s">
        <v>68</v>
      </c>
      <c r="N1975" t="str">
        <f t="shared" si="250"/>
        <v>FOR</v>
      </c>
      <c r="O1975" t="s">
        <v>69</v>
      </c>
      <c r="P1975" t="s">
        <v>75</v>
      </c>
      <c r="Q1975">
        <v>2016</v>
      </c>
      <c r="R1975" s="4">
        <v>42580</v>
      </c>
      <c r="S1975" s="2">
        <v>42628</v>
      </c>
      <c r="T1975" s="2">
        <v>42627</v>
      </c>
      <c r="U1975" s="4">
        <v>42687</v>
      </c>
      <c r="V1975" t="s">
        <v>71</v>
      </c>
      <c r="W1975" t="str">
        <f>"                40/E"</f>
        <v xml:space="preserve">                40/E</v>
      </c>
      <c r="X1975">
        <v>213.5</v>
      </c>
      <c r="Y1975">
        <v>0</v>
      </c>
      <c r="Z1975" s="5">
        <v>175</v>
      </c>
      <c r="AA1975" s="3">
        <v>95</v>
      </c>
      <c r="AB1975" s="5">
        <v>16625</v>
      </c>
      <c r="AC1975">
        <v>175</v>
      </c>
      <c r="AD1975">
        <v>95</v>
      </c>
      <c r="AE1975" s="1">
        <v>16625</v>
      </c>
      <c r="AF1975">
        <v>0</v>
      </c>
      <c r="AJ1975">
        <v>0</v>
      </c>
      <c r="AK1975">
        <v>0</v>
      </c>
      <c r="AL1975">
        <v>0</v>
      </c>
      <c r="AM1975">
        <v>0</v>
      </c>
      <c r="AN1975">
        <v>0</v>
      </c>
      <c r="AO1975">
        <v>0</v>
      </c>
      <c r="AP1975" s="2">
        <v>42831</v>
      </c>
      <c r="AQ1975" t="s">
        <v>72</v>
      </c>
      <c r="AR1975" t="s">
        <v>72</v>
      </c>
      <c r="AS1975">
        <v>486</v>
      </c>
      <c r="AT1975" s="4">
        <v>42782</v>
      </c>
      <c r="AU1975" t="s">
        <v>73</v>
      </c>
      <c r="AV1975">
        <v>486</v>
      </c>
      <c r="AW1975" s="4">
        <v>42782</v>
      </c>
      <c r="BD1975">
        <v>0</v>
      </c>
      <c r="BN1975" t="s">
        <v>74</v>
      </c>
    </row>
    <row r="1976" spans="1:66">
      <c r="A1976">
        <v>104487</v>
      </c>
      <c r="B1976" t="s">
        <v>405</v>
      </c>
      <c r="C1976" s="1">
        <v>43300101</v>
      </c>
      <c r="D1976" t="s">
        <v>67</v>
      </c>
      <c r="H1976" t="str">
        <f t="shared" si="252"/>
        <v>VSTGTN63B26F839C</v>
      </c>
      <c r="I1976" t="str">
        <f t="shared" si="253"/>
        <v>07287630631</v>
      </c>
      <c r="K1976" t="str">
        <f>""</f>
        <v/>
      </c>
      <c r="M1976" t="s">
        <v>68</v>
      </c>
      <c r="N1976" t="str">
        <f t="shared" si="250"/>
        <v>FOR</v>
      </c>
      <c r="O1976" t="s">
        <v>69</v>
      </c>
      <c r="P1976" t="s">
        <v>75</v>
      </c>
      <c r="Q1976">
        <v>2016</v>
      </c>
      <c r="R1976" s="4">
        <v>42612</v>
      </c>
      <c r="S1976" s="2">
        <v>42628</v>
      </c>
      <c r="T1976" s="2">
        <v>42627</v>
      </c>
      <c r="U1976" s="4">
        <v>42687</v>
      </c>
      <c r="V1976" t="s">
        <v>71</v>
      </c>
      <c r="W1976" t="str">
        <f>"                42/E"</f>
        <v xml:space="preserve">                42/E</v>
      </c>
      <c r="X1976" s="1">
        <v>2348.5</v>
      </c>
      <c r="Y1976">
        <v>0</v>
      </c>
      <c r="Z1976" s="5">
        <v>1925</v>
      </c>
      <c r="AA1976" s="3">
        <v>95</v>
      </c>
      <c r="AB1976" s="5">
        <v>182875</v>
      </c>
      <c r="AC1976" s="1">
        <v>1925</v>
      </c>
      <c r="AD1976">
        <v>95</v>
      </c>
      <c r="AE1976" s="1">
        <v>182875</v>
      </c>
      <c r="AF1976">
        <v>0</v>
      </c>
      <c r="AJ1976">
        <v>0</v>
      </c>
      <c r="AK1976">
        <v>0</v>
      </c>
      <c r="AL1976">
        <v>0</v>
      </c>
      <c r="AM1976">
        <v>0</v>
      </c>
      <c r="AN1976">
        <v>0</v>
      </c>
      <c r="AO1976">
        <v>0</v>
      </c>
      <c r="AP1976" s="2">
        <v>42831</v>
      </c>
      <c r="AQ1976" t="s">
        <v>72</v>
      </c>
      <c r="AR1976" t="s">
        <v>72</v>
      </c>
      <c r="AS1976">
        <v>486</v>
      </c>
      <c r="AT1976" s="4">
        <v>42782</v>
      </c>
      <c r="AU1976" t="s">
        <v>73</v>
      </c>
      <c r="AV1976">
        <v>486</v>
      </c>
      <c r="AW1976" s="4">
        <v>42782</v>
      </c>
      <c r="BD1976">
        <v>0</v>
      </c>
      <c r="BN1976" t="s">
        <v>74</v>
      </c>
    </row>
    <row r="1977" spans="1:66">
      <c r="A1977">
        <v>104487</v>
      </c>
      <c r="B1977" t="s">
        <v>405</v>
      </c>
      <c r="C1977" s="1">
        <v>43300101</v>
      </c>
      <c r="D1977" t="s">
        <v>67</v>
      </c>
      <c r="H1977" t="str">
        <f t="shared" si="252"/>
        <v>VSTGTN63B26F839C</v>
      </c>
      <c r="I1977" t="str">
        <f t="shared" si="253"/>
        <v>07287630631</v>
      </c>
      <c r="K1977" t="str">
        <f>""</f>
        <v/>
      </c>
      <c r="M1977" t="s">
        <v>68</v>
      </c>
      <c r="N1977" t="str">
        <f t="shared" si="250"/>
        <v>FOR</v>
      </c>
      <c r="O1977" t="s">
        <v>69</v>
      </c>
      <c r="P1977" t="s">
        <v>75</v>
      </c>
      <c r="Q1977">
        <v>2016</v>
      </c>
      <c r="R1977" s="4">
        <v>42671</v>
      </c>
      <c r="S1977" s="2">
        <v>42690</v>
      </c>
      <c r="T1977" s="2">
        <v>42689</v>
      </c>
      <c r="U1977" s="4">
        <v>42749</v>
      </c>
      <c r="V1977" t="s">
        <v>71</v>
      </c>
      <c r="W1977" t="str">
        <f>"                52/E"</f>
        <v xml:space="preserve">                52/E</v>
      </c>
      <c r="X1977" s="1">
        <v>1054.08</v>
      </c>
      <c r="Y1977">
        <v>0</v>
      </c>
      <c r="Z1977" s="5">
        <v>864</v>
      </c>
      <c r="AA1977" s="3">
        <v>33</v>
      </c>
      <c r="AB1977" s="5">
        <v>28512</v>
      </c>
      <c r="AC1977">
        <v>864</v>
      </c>
      <c r="AD1977">
        <v>33</v>
      </c>
      <c r="AE1977" s="1">
        <v>28512</v>
      </c>
      <c r="AF1977">
        <v>0</v>
      </c>
      <c r="AJ1977">
        <v>0</v>
      </c>
      <c r="AK1977">
        <v>0</v>
      </c>
      <c r="AL1977">
        <v>0</v>
      </c>
      <c r="AM1977">
        <v>0</v>
      </c>
      <c r="AN1977">
        <v>0</v>
      </c>
      <c r="AO1977">
        <v>0</v>
      </c>
      <c r="AP1977" s="2">
        <v>42831</v>
      </c>
      <c r="AQ1977" t="s">
        <v>72</v>
      </c>
      <c r="AR1977" t="s">
        <v>72</v>
      </c>
      <c r="AS1977">
        <v>486</v>
      </c>
      <c r="AT1977" s="4">
        <v>42782</v>
      </c>
      <c r="AU1977" t="s">
        <v>73</v>
      </c>
      <c r="AV1977">
        <v>486</v>
      </c>
      <c r="AW1977" s="4">
        <v>42782</v>
      </c>
      <c r="BD1977">
        <v>0</v>
      </c>
      <c r="BN1977" t="s">
        <v>74</v>
      </c>
    </row>
    <row r="1978" spans="1:66">
      <c r="A1978">
        <v>104487</v>
      </c>
      <c r="B1978" t="s">
        <v>405</v>
      </c>
      <c r="C1978" s="1">
        <v>43300101</v>
      </c>
      <c r="D1978" t="s">
        <v>67</v>
      </c>
      <c r="H1978" t="str">
        <f t="shared" si="252"/>
        <v>VSTGTN63B26F839C</v>
      </c>
      <c r="I1978" t="str">
        <f t="shared" si="253"/>
        <v>07287630631</v>
      </c>
      <c r="K1978" t="str">
        <f>""</f>
        <v/>
      </c>
      <c r="M1978" t="s">
        <v>68</v>
      </c>
      <c r="N1978" t="str">
        <f t="shared" si="250"/>
        <v>FOR</v>
      </c>
      <c r="O1978" t="s">
        <v>69</v>
      </c>
      <c r="P1978" t="s">
        <v>75</v>
      </c>
      <c r="Q1978">
        <v>2016</v>
      </c>
      <c r="R1978" s="4">
        <v>42671</v>
      </c>
      <c r="S1978" s="2">
        <v>42690</v>
      </c>
      <c r="T1978" s="2">
        <v>42689</v>
      </c>
      <c r="U1978" s="4">
        <v>42749</v>
      </c>
      <c r="V1978" t="s">
        <v>71</v>
      </c>
      <c r="W1978" t="str">
        <f>"                53/E"</f>
        <v xml:space="preserve">                53/E</v>
      </c>
      <c r="X1978" s="1">
        <v>7410</v>
      </c>
      <c r="Y1978">
        <v>0</v>
      </c>
      <c r="Z1978" s="5">
        <v>7125</v>
      </c>
      <c r="AA1978" s="3">
        <v>33</v>
      </c>
      <c r="AB1978" s="5">
        <v>235125</v>
      </c>
      <c r="AC1978" s="1">
        <v>7125</v>
      </c>
      <c r="AD1978">
        <v>33</v>
      </c>
      <c r="AE1978" s="1">
        <v>235125</v>
      </c>
      <c r="AF1978">
        <v>0</v>
      </c>
      <c r="AJ1978">
        <v>0</v>
      </c>
      <c r="AK1978">
        <v>0</v>
      </c>
      <c r="AL1978">
        <v>0</v>
      </c>
      <c r="AM1978">
        <v>0</v>
      </c>
      <c r="AN1978">
        <v>0</v>
      </c>
      <c r="AO1978">
        <v>0</v>
      </c>
      <c r="AP1978" s="2">
        <v>42831</v>
      </c>
      <c r="AQ1978" t="s">
        <v>72</v>
      </c>
      <c r="AR1978" t="s">
        <v>72</v>
      </c>
      <c r="AS1978">
        <v>486</v>
      </c>
      <c r="AT1978" s="4">
        <v>42782</v>
      </c>
      <c r="AU1978" t="s">
        <v>73</v>
      </c>
      <c r="AV1978">
        <v>486</v>
      </c>
      <c r="AW1978" s="4">
        <v>42782</v>
      </c>
      <c r="BD1978">
        <v>0</v>
      </c>
      <c r="BN1978" t="s">
        <v>74</v>
      </c>
    </row>
    <row r="1979" spans="1:66">
      <c r="A1979">
        <v>104489</v>
      </c>
      <c r="B1979" t="s">
        <v>406</v>
      </c>
      <c r="C1979" s="1">
        <v>43300101</v>
      </c>
      <c r="D1979" t="s">
        <v>67</v>
      </c>
      <c r="H1979" t="str">
        <f t="shared" ref="H1979:I1988" si="254">"07854330631"</f>
        <v>07854330631</v>
      </c>
      <c r="I1979" t="str">
        <f t="shared" si="254"/>
        <v>07854330631</v>
      </c>
      <c r="K1979" t="str">
        <f>""</f>
        <v/>
      </c>
      <c r="M1979" t="s">
        <v>68</v>
      </c>
      <c r="N1979" t="str">
        <f t="shared" si="250"/>
        <v>FOR</v>
      </c>
      <c r="O1979" t="s">
        <v>69</v>
      </c>
      <c r="P1979" t="s">
        <v>75</v>
      </c>
      <c r="Q1979">
        <v>2016</v>
      </c>
      <c r="R1979" s="4">
        <v>42531</v>
      </c>
      <c r="S1979" s="2">
        <v>42565</v>
      </c>
      <c r="T1979" s="2">
        <v>42564</v>
      </c>
      <c r="U1979" s="4">
        <v>42624</v>
      </c>
      <c r="V1979" t="s">
        <v>71</v>
      </c>
      <c r="W1979" t="str">
        <f>"              260/02"</f>
        <v xml:space="preserve">              260/02</v>
      </c>
      <c r="X1979">
        <v>884</v>
      </c>
      <c r="Y1979">
        <v>0</v>
      </c>
      <c r="Z1979" s="5">
        <v>850</v>
      </c>
      <c r="AA1979" s="3">
        <v>144</v>
      </c>
      <c r="AB1979" s="5">
        <v>122400</v>
      </c>
      <c r="AC1979">
        <v>850</v>
      </c>
      <c r="AD1979">
        <v>144</v>
      </c>
      <c r="AE1979" s="1">
        <v>122400</v>
      </c>
      <c r="AF1979">
        <v>0</v>
      </c>
      <c r="AJ1979">
        <v>0</v>
      </c>
      <c r="AK1979">
        <v>0</v>
      </c>
      <c r="AL1979">
        <v>0</v>
      </c>
      <c r="AM1979">
        <v>0</v>
      </c>
      <c r="AN1979">
        <v>0</v>
      </c>
      <c r="AO1979">
        <v>0</v>
      </c>
      <c r="AP1979" s="2">
        <v>42831</v>
      </c>
      <c r="AQ1979" t="s">
        <v>72</v>
      </c>
      <c r="AR1979" t="s">
        <v>72</v>
      </c>
      <c r="AS1979">
        <v>270</v>
      </c>
      <c r="AT1979" s="4">
        <v>42768</v>
      </c>
      <c r="AU1979" t="s">
        <v>73</v>
      </c>
      <c r="AV1979">
        <v>270</v>
      </c>
      <c r="AW1979" s="4">
        <v>42768</v>
      </c>
      <c r="BD1979">
        <v>0</v>
      </c>
      <c r="BN1979" t="s">
        <v>74</v>
      </c>
    </row>
    <row r="1980" spans="1:66">
      <c r="A1980">
        <v>104489</v>
      </c>
      <c r="B1980" t="s">
        <v>406</v>
      </c>
      <c r="C1980" s="1">
        <v>43300101</v>
      </c>
      <c r="D1980" t="s">
        <v>67</v>
      </c>
      <c r="H1980" t="str">
        <f t="shared" si="254"/>
        <v>07854330631</v>
      </c>
      <c r="I1980" t="str">
        <f t="shared" si="254"/>
        <v>07854330631</v>
      </c>
      <c r="K1980" t="str">
        <f>""</f>
        <v/>
      </c>
      <c r="M1980" t="s">
        <v>68</v>
      </c>
      <c r="N1980" t="str">
        <f t="shared" si="250"/>
        <v>FOR</v>
      </c>
      <c r="O1980" t="s">
        <v>69</v>
      </c>
      <c r="P1980" t="s">
        <v>75</v>
      </c>
      <c r="Q1980">
        <v>2016</v>
      </c>
      <c r="R1980" s="4">
        <v>42536</v>
      </c>
      <c r="S1980" s="2">
        <v>42565</v>
      </c>
      <c r="T1980" s="2">
        <v>42564</v>
      </c>
      <c r="U1980" s="4">
        <v>42624</v>
      </c>
      <c r="V1980" t="s">
        <v>71</v>
      </c>
      <c r="W1980" t="str">
        <f>"              265/02"</f>
        <v xml:space="preserve">              265/02</v>
      </c>
      <c r="X1980">
        <v>884</v>
      </c>
      <c r="Y1980">
        <v>0</v>
      </c>
      <c r="Z1980" s="5">
        <v>850</v>
      </c>
      <c r="AA1980" s="3">
        <v>144</v>
      </c>
      <c r="AB1980" s="5">
        <v>122400</v>
      </c>
      <c r="AC1980">
        <v>850</v>
      </c>
      <c r="AD1980">
        <v>144</v>
      </c>
      <c r="AE1980" s="1">
        <v>122400</v>
      </c>
      <c r="AF1980">
        <v>0</v>
      </c>
      <c r="AJ1980">
        <v>0</v>
      </c>
      <c r="AK1980">
        <v>0</v>
      </c>
      <c r="AL1980">
        <v>0</v>
      </c>
      <c r="AM1980">
        <v>0</v>
      </c>
      <c r="AN1980">
        <v>0</v>
      </c>
      <c r="AO1980">
        <v>0</v>
      </c>
      <c r="AP1980" s="2">
        <v>42831</v>
      </c>
      <c r="AQ1980" t="s">
        <v>72</v>
      </c>
      <c r="AR1980" t="s">
        <v>72</v>
      </c>
      <c r="AS1980">
        <v>270</v>
      </c>
      <c r="AT1980" s="4">
        <v>42768</v>
      </c>
      <c r="AU1980" t="s">
        <v>73</v>
      </c>
      <c r="AV1980">
        <v>270</v>
      </c>
      <c r="AW1980" s="4">
        <v>42768</v>
      </c>
      <c r="BD1980">
        <v>0</v>
      </c>
      <c r="BN1980" t="s">
        <v>74</v>
      </c>
    </row>
    <row r="1981" spans="1:66">
      <c r="A1981">
        <v>104489</v>
      </c>
      <c r="B1981" t="s">
        <v>406</v>
      </c>
      <c r="C1981" s="1">
        <v>43300101</v>
      </c>
      <c r="D1981" t="s">
        <v>67</v>
      </c>
      <c r="H1981" t="str">
        <f t="shared" si="254"/>
        <v>07854330631</v>
      </c>
      <c r="I1981" t="str">
        <f t="shared" si="254"/>
        <v>07854330631</v>
      </c>
      <c r="K1981" t="str">
        <f>""</f>
        <v/>
      </c>
      <c r="M1981" t="s">
        <v>68</v>
      </c>
      <c r="N1981" t="str">
        <f t="shared" si="250"/>
        <v>FOR</v>
      </c>
      <c r="O1981" t="s">
        <v>69</v>
      </c>
      <c r="P1981" t="s">
        <v>75</v>
      </c>
      <c r="Q1981">
        <v>2016</v>
      </c>
      <c r="R1981" s="4">
        <v>42536</v>
      </c>
      <c r="S1981" s="2">
        <v>42565</v>
      </c>
      <c r="T1981" s="2">
        <v>42564</v>
      </c>
      <c r="U1981" s="4">
        <v>42624</v>
      </c>
      <c r="V1981" t="s">
        <v>71</v>
      </c>
      <c r="W1981" t="str">
        <f>"              266/02"</f>
        <v xml:space="preserve">              266/02</v>
      </c>
      <c r="X1981">
        <v>884</v>
      </c>
      <c r="Y1981">
        <v>0</v>
      </c>
      <c r="Z1981" s="5">
        <v>850</v>
      </c>
      <c r="AA1981" s="3">
        <v>144</v>
      </c>
      <c r="AB1981" s="5">
        <v>122400</v>
      </c>
      <c r="AC1981">
        <v>850</v>
      </c>
      <c r="AD1981">
        <v>144</v>
      </c>
      <c r="AE1981" s="1">
        <v>122400</v>
      </c>
      <c r="AF1981">
        <v>0</v>
      </c>
      <c r="AJ1981">
        <v>0</v>
      </c>
      <c r="AK1981">
        <v>0</v>
      </c>
      <c r="AL1981">
        <v>0</v>
      </c>
      <c r="AM1981">
        <v>0</v>
      </c>
      <c r="AN1981">
        <v>0</v>
      </c>
      <c r="AO1981">
        <v>0</v>
      </c>
      <c r="AP1981" s="2">
        <v>42831</v>
      </c>
      <c r="AQ1981" t="s">
        <v>72</v>
      </c>
      <c r="AR1981" t="s">
        <v>72</v>
      </c>
      <c r="AS1981">
        <v>270</v>
      </c>
      <c r="AT1981" s="4">
        <v>42768</v>
      </c>
      <c r="AU1981" t="s">
        <v>73</v>
      </c>
      <c r="AV1981">
        <v>270</v>
      </c>
      <c r="AW1981" s="4">
        <v>42768</v>
      </c>
      <c r="BD1981">
        <v>0</v>
      </c>
      <c r="BN1981" t="s">
        <v>74</v>
      </c>
    </row>
    <row r="1982" spans="1:66">
      <c r="A1982">
        <v>104489</v>
      </c>
      <c r="B1982" t="s">
        <v>406</v>
      </c>
      <c r="C1982" s="1">
        <v>43300101</v>
      </c>
      <c r="D1982" t="s">
        <v>67</v>
      </c>
      <c r="H1982" t="str">
        <f t="shared" si="254"/>
        <v>07854330631</v>
      </c>
      <c r="I1982" t="str">
        <f t="shared" si="254"/>
        <v>07854330631</v>
      </c>
      <c r="K1982" t="str">
        <f>""</f>
        <v/>
      </c>
      <c r="M1982" t="s">
        <v>68</v>
      </c>
      <c r="N1982" t="str">
        <f t="shared" ref="N1982:N2013" si="255">"FOR"</f>
        <v>FOR</v>
      </c>
      <c r="O1982" t="s">
        <v>69</v>
      </c>
      <c r="P1982" t="s">
        <v>75</v>
      </c>
      <c r="Q1982">
        <v>2016</v>
      </c>
      <c r="R1982" s="4">
        <v>42543</v>
      </c>
      <c r="S1982" s="2">
        <v>42565</v>
      </c>
      <c r="T1982" s="2">
        <v>42564</v>
      </c>
      <c r="U1982" s="4">
        <v>42624</v>
      </c>
      <c r="V1982" t="s">
        <v>71</v>
      </c>
      <c r="W1982" t="str">
        <f>"              279/02"</f>
        <v xml:space="preserve">              279/02</v>
      </c>
      <c r="X1982">
        <v>884</v>
      </c>
      <c r="Y1982">
        <v>0</v>
      </c>
      <c r="Z1982" s="5">
        <v>850</v>
      </c>
      <c r="AA1982" s="3">
        <v>144</v>
      </c>
      <c r="AB1982" s="5">
        <v>122400</v>
      </c>
      <c r="AC1982">
        <v>850</v>
      </c>
      <c r="AD1982">
        <v>144</v>
      </c>
      <c r="AE1982" s="1">
        <v>122400</v>
      </c>
      <c r="AF1982">
        <v>0</v>
      </c>
      <c r="AJ1982">
        <v>0</v>
      </c>
      <c r="AK1982">
        <v>0</v>
      </c>
      <c r="AL1982">
        <v>0</v>
      </c>
      <c r="AM1982">
        <v>0</v>
      </c>
      <c r="AN1982">
        <v>0</v>
      </c>
      <c r="AO1982">
        <v>0</v>
      </c>
      <c r="AP1982" s="2">
        <v>42831</v>
      </c>
      <c r="AQ1982" t="s">
        <v>72</v>
      </c>
      <c r="AR1982" t="s">
        <v>72</v>
      </c>
      <c r="AS1982">
        <v>270</v>
      </c>
      <c r="AT1982" s="4">
        <v>42768</v>
      </c>
      <c r="AU1982" t="s">
        <v>73</v>
      </c>
      <c r="AV1982">
        <v>270</v>
      </c>
      <c r="AW1982" s="4">
        <v>42768</v>
      </c>
      <c r="BD1982">
        <v>0</v>
      </c>
      <c r="BN1982" t="s">
        <v>74</v>
      </c>
    </row>
    <row r="1983" spans="1:66">
      <c r="A1983">
        <v>104489</v>
      </c>
      <c r="B1983" t="s">
        <v>406</v>
      </c>
      <c r="C1983" s="1">
        <v>43300101</v>
      </c>
      <c r="D1983" t="s">
        <v>67</v>
      </c>
      <c r="H1983" t="str">
        <f t="shared" si="254"/>
        <v>07854330631</v>
      </c>
      <c r="I1983" t="str">
        <f t="shared" si="254"/>
        <v>07854330631</v>
      </c>
      <c r="K1983" t="str">
        <f>""</f>
        <v/>
      </c>
      <c r="M1983" t="s">
        <v>68</v>
      </c>
      <c r="N1983" t="str">
        <f t="shared" si="255"/>
        <v>FOR</v>
      </c>
      <c r="O1983" t="s">
        <v>69</v>
      </c>
      <c r="P1983" t="s">
        <v>75</v>
      </c>
      <c r="Q1983">
        <v>2016</v>
      </c>
      <c r="R1983" s="4">
        <v>42612</v>
      </c>
      <c r="S1983" s="2">
        <v>42627</v>
      </c>
      <c r="T1983" s="2">
        <v>42620</v>
      </c>
      <c r="U1983" s="4">
        <v>42680</v>
      </c>
      <c r="V1983" t="s">
        <v>71</v>
      </c>
      <c r="W1983" t="str">
        <f>"              332/02"</f>
        <v xml:space="preserve">              332/02</v>
      </c>
      <c r="X1983">
        <v>884</v>
      </c>
      <c r="Y1983">
        <v>0</v>
      </c>
      <c r="Z1983" s="5">
        <v>850</v>
      </c>
      <c r="AA1983" s="3">
        <v>113</v>
      </c>
      <c r="AB1983" s="5">
        <v>96050</v>
      </c>
      <c r="AC1983">
        <v>850</v>
      </c>
      <c r="AD1983">
        <v>113</v>
      </c>
      <c r="AE1983" s="1">
        <v>96050</v>
      </c>
      <c r="AF1983">
        <v>0</v>
      </c>
      <c r="AJ1983">
        <v>0</v>
      </c>
      <c r="AK1983">
        <v>0</v>
      </c>
      <c r="AL1983">
        <v>0</v>
      </c>
      <c r="AM1983">
        <v>0</v>
      </c>
      <c r="AN1983">
        <v>0</v>
      </c>
      <c r="AO1983">
        <v>0</v>
      </c>
      <c r="AP1983" s="2">
        <v>42831</v>
      </c>
      <c r="AQ1983" t="s">
        <v>72</v>
      </c>
      <c r="AR1983" t="s">
        <v>72</v>
      </c>
      <c r="AS1983">
        <v>621</v>
      </c>
      <c r="AT1983" s="4">
        <v>42793</v>
      </c>
      <c r="AU1983" t="s">
        <v>73</v>
      </c>
      <c r="AV1983">
        <v>621</v>
      </c>
      <c r="AW1983" s="4">
        <v>42793</v>
      </c>
      <c r="BD1983">
        <v>0</v>
      </c>
      <c r="BN1983" t="s">
        <v>74</v>
      </c>
    </row>
    <row r="1984" spans="1:66">
      <c r="A1984">
        <v>104489</v>
      </c>
      <c r="B1984" t="s">
        <v>406</v>
      </c>
      <c r="C1984" s="1">
        <v>43300101</v>
      </c>
      <c r="D1984" t="s">
        <v>67</v>
      </c>
      <c r="H1984" t="str">
        <f t="shared" si="254"/>
        <v>07854330631</v>
      </c>
      <c r="I1984" t="str">
        <f t="shared" si="254"/>
        <v>07854330631</v>
      </c>
      <c r="K1984" t="str">
        <f>""</f>
        <v/>
      </c>
      <c r="M1984" t="s">
        <v>68</v>
      </c>
      <c r="N1984" t="str">
        <f t="shared" si="255"/>
        <v>FOR</v>
      </c>
      <c r="O1984" t="s">
        <v>69</v>
      </c>
      <c r="P1984" t="s">
        <v>75</v>
      </c>
      <c r="Q1984">
        <v>2016</v>
      </c>
      <c r="R1984" s="4">
        <v>42612</v>
      </c>
      <c r="S1984" s="2">
        <v>42627</v>
      </c>
      <c r="T1984" s="2">
        <v>42620</v>
      </c>
      <c r="U1984" s="4">
        <v>42680</v>
      </c>
      <c r="V1984" t="s">
        <v>71</v>
      </c>
      <c r="W1984" t="str">
        <f>"              333/02"</f>
        <v xml:space="preserve">              333/02</v>
      </c>
      <c r="X1984">
        <v>884</v>
      </c>
      <c r="Y1984">
        <v>0</v>
      </c>
      <c r="Z1984" s="5">
        <v>850</v>
      </c>
      <c r="AA1984" s="3">
        <v>113</v>
      </c>
      <c r="AB1984" s="5">
        <v>96050</v>
      </c>
      <c r="AC1984">
        <v>850</v>
      </c>
      <c r="AD1984">
        <v>113</v>
      </c>
      <c r="AE1984" s="1">
        <v>96050</v>
      </c>
      <c r="AF1984">
        <v>0</v>
      </c>
      <c r="AJ1984">
        <v>0</v>
      </c>
      <c r="AK1984">
        <v>0</v>
      </c>
      <c r="AL1984">
        <v>0</v>
      </c>
      <c r="AM1984">
        <v>0</v>
      </c>
      <c r="AN1984">
        <v>0</v>
      </c>
      <c r="AO1984">
        <v>0</v>
      </c>
      <c r="AP1984" s="2">
        <v>42831</v>
      </c>
      <c r="AQ1984" t="s">
        <v>72</v>
      </c>
      <c r="AR1984" t="s">
        <v>72</v>
      </c>
      <c r="AS1984">
        <v>621</v>
      </c>
      <c r="AT1984" s="4">
        <v>42793</v>
      </c>
      <c r="AU1984" t="s">
        <v>73</v>
      </c>
      <c r="AV1984">
        <v>621</v>
      </c>
      <c r="AW1984" s="4">
        <v>42793</v>
      </c>
      <c r="BD1984">
        <v>0</v>
      </c>
      <c r="BN1984" t="s">
        <v>74</v>
      </c>
    </row>
    <row r="1985" spans="1:66">
      <c r="A1985">
        <v>104489</v>
      </c>
      <c r="B1985" t="s">
        <v>406</v>
      </c>
      <c r="C1985" s="1">
        <v>43300101</v>
      </c>
      <c r="D1985" t="s">
        <v>67</v>
      </c>
      <c r="H1985" t="str">
        <f t="shared" si="254"/>
        <v>07854330631</v>
      </c>
      <c r="I1985" t="str">
        <f t="shared" si="254"/>
        <v>07854330631</v>
      </c>
      <c r="K1985" t="str">
        <f>""</f>
        <v/>
      </c>
      <c r="M1985" t="s">
        <v>68</v>
      </c>
      <c r="N1985" t="str">
        <f t="shared" si="255"/>
        <v>FOR</v>
      </c>
      <c r="O1985" t="s">
        <v>69</v>
      </c>
      <c r="P1985" t="s">
        <v>75</v>
      </c>
      <c r="Q1985">
        <v>2016</v>
      </c>
      <c r="R1985" s="4">
        <v>42612</v>
      </c>
      <c r="S1985" s="2">
        <v>42627</v>
      </c>
      <c r="T1985" s="2">
        <v>42620</v>
      </c>
      <c r="U1985" s="4">
        <v>42680</v>
      </c>
      <c r="V1985" t="s">
        <v>71</v>
      </c>
      <c r="W1985" t="str">
        <f>"              334/02"</f>
        <v xml:space="preserve">              334/02</v>
      </c>
      <c r="X1985">
        <v>884</v>
      </c>
      <c r="Y1985">
        <v>0</v>
      </c>
      <c r="Z1985" s="5">
        <v>850</v>
      </c>
      <c r="AA1985" s="3">
        <v>113</v>
      </c>
      <c r="AB1985" s="5">
        <v>96050</v>
      </c>
      <c r="AC1985">
        <v>850</v>
      </c>
      <c r="AD1985">
        <v>113</v>
      </c>
      <c r="AE1985" s="1">
        <v>96050</v>
      </c>
      <c r="AF1985">
        <v>0</v>
      </c>
      <c r="AJ1985">
        <v>0</v>
      </c>
      <c r="AK1985">
        <v>0</v>
      </c>
      <c r="AL1985">
        <v>0</v>
      </c>
      <c r="AM1985">
        <v>0</v>
      </c>
      <c r="AN1985">
        <v>0</v>
      </c>
      <c r="AO1985">
        <v>0</v>
      </c>
      <c r="AP1985" s="2">
        <v>42831</v>
      </c>
      <c r="AQ1985" t="s">
        <v>72</v>
      </c>
      <c r="AR1985" t="s">
        <v>72</v>
      </c>
      <c r="AS1985">
        <v>621</v>
      </c>
      <c r="AT1985" s="4">
        <v>42793</v>
      </c>
      <c r="AU1985" t="s">
        <v>73</v>
      </c>
      <c r="AV1985">
        <v>621</v>
      </c>
      <c r="AW1985" s="4">
        <v>42793</v>
      </c>
      <c r="BD1985">
        <v>0</v>
      </c>
      <c r="BN1985" t="s">
        <v>74</v>
      </c>
    </row>
    <row r="1986" spans="1:66">
      <c r="A1986">
        <v>104489</v>
      </c>
      <c r="B1986" t="s">
        <v>406</v>
      </c>
      <c r="C1986" s="1">
        <v>43300101</v>
      </c>
      <c r="D1986" t="s">
        <v>67</v>
      </c>
      <c r="H1986" t="str">
        <f t="shared" si="254"/>
        <v>07854330631</v>
      </c>
      <c r="I1986" t="str">
        <f t="shared" si="254"/>
        <v>07854330631</v>
      </c>
      <c r="K1986" t="str">
        <f>""</f>
        <v/>
      </c>
      <c r="M1986" t="s">
        <v>68</v>
      </c>
      <c r="N1986" t="str">
        <f t="shared" si="255"/>
        <v>FOR</v>
      </c>
      <c r="O1986" t="s">
        <v>69</v>
      </c>
      <c r="P1986" t="s">
        <v>75</v>
      </c>
      <c r="Q1986">
        <v>2016</v>
      </c>
      <c r="R1986" s="4">
        <v>42612</v>
      </c>
      <c r="S1986" s="2">
        <v>42628</v>
      </c>
      <c r="T1986" s="2">
        <v>42620</v>
      </c>
      <c r="U1986" s="4">
        <v>42680</v>
      </c>
      <c r="V1986" t="s">
        <v>71</v>
      </c>
      <c r="W1986" t="str">
        <f>"              335/02"</f>
        <v xml:space="preserve">              335/02</v>
      </c>
      <c r="X1986">
        <v>884</v>
      </c>
      <c r="Y1986">
        <v>0</v>
      </c>
      <c r="Z1986" s="5">
        <v>850</v>
      </c>
      <c r="AA1986" s="3">
        <v>113</v>
      </c>
      <c r="AB1986" s="5">
        <v>96050</v>
      </c>
      <c r="AC1986">
        <v>850</v>
      </c>
      <c r="AD1986">
        <v>113</v>
      </c>
      <c r="AE1986" s="1">
        <v>96050</v>
      </c>
      <c r="AF1986">
        <v>0</v>
      </c>
      <c r="AJ1986">
        <v>0</v>
      </c>
      <c r="AK1986">
        <v>0</v>
      </c>
      <c r="AL1986">
        <v>0</v>
      </c>
      <c r="AM1986">
        <v>0</v>
      </c>
      <c r="AN1986">
        <v>0</v>
      </c>
      <c r="AO1986">
        <v>0</v>
      </c>
      <c r="AP1986" s="2">
        <v>42831</v>
      </c>
      <c r="AQ1986" t="s">
        <v>72</v>
      </c>
      <c r="AR1986" t="s">
        <v>72</v>
      </c>
      <c r="AS1986">
        <v>621</v>
      </c>
      <c r="AT1986" s="4">
        <v>42793</v>
      </c>
      <c r="AU1986" t="s">
        <v>73</v>
      </c>
      <c r="AV1986">
        <v>621</v>
      </c>
      <c r="AW1986" s="4">
        <v>42793</v>
      </c>
      <c r="BD1986">
        <v>0</v>
      </c>
      <c r="BN1986" t="s">
        <v>74</v>
      </c>
    </row>
    <row r="1987" spans="1:66">
      <c r="A1987">
        <v>104489</v>
      </c>
      <c r="B1987" t="s">
        <v>406</v>
      </c>
      <c r="C1987" s="1">
        <v>43300101</v>
      </c>
      <c r="D1987" t="s">
        <v>67</v>
      </c>
      <c r="H1987" t="str">
        <f t="shared" si="254"/>
        <v>07854330631</v>
      </c>
      <c r="I1987" t="str">
        <f t="shared" si="254"/>
        <v>07854330631</v>
      </c>
      <c r="K1987" t="str">
        <f>""</f>
        <v/>
      </c>
      <c r="M1987" t="s">
        <v>68</v>
      </c>
      <c r="N1987" t="str">
        <f t="shared" si="255"/>
        <v>FOR</v>
      </c>
      <c r="O1987" t="s">
        <v>69</v>
      </c>
      <c r="P1987" t="s">
        <v>75</v>
      </c>
      <c r="Q1987">
        <v>2016</v>
      </c>
      <c r="R1987" s="4">
        <v>42621</v>
      </c>
      <c r="S1987" s="2">
        <v>42627</v>
      </c>
      <c r="T1987" s="2">
        <v>42621</v>
      </c>
      <c r="U1987" s="4">
        <v>42681</v>
      </c>
      <c r="V1987" t="s">
        <v>71</v>
      </c>
      <c r="W1987" t="str">
        <f>"              343/02"</f>
        <v xml:space="preserve">              343/02</v>
      </c>
      <c r="X1987">
        <v>884</v>
      </c>
      <c r="Y1987">
        <v>0</v>
      </c>
      <c r="Z1987" s="5">
        <v>850</v>
      </c>
      <c r="AA1987" s="3">
        <v>112</v>
      </c>
      <c r="AB1987" s="5">
        <v>95200</v>
      </c>
      <c r="AC1987">
        <v>850</v>
      </c>
      <c r="AD1987">
        <v>112</v>
      </c>
      <c r="AE1987" s="1">
        <v>95200</v>
      </c>
      <c r="AF1987">
        <v>0</v>
      </c>
      <c r="AJ1987">
        <v>0</v>
      </c>
      <c r="AK1987">
        <v>0</v>
      </c>
      <c r="AL1987">
        <v>0</v>
      </c>
      <c r="AM1987">
        <v>0</v>
      </c>
      <c r="AN1987">
        <v>0</v>
      </c>
      <c r="AO1987">
        <v>0</v>
      </c>
      <c r="AP1987" s="2">
        <v>42831</v>
      </c>
      <c r="AQ1987" t="s">
        <v>72</v>
      </c>
      <c r="AR1987" t="s">
        <v>72</v>
      </c>
      <c r="AS1987">
        <v>621</v>
      </c>
      <c r="AT1987" s="4">
        <v>42793</v>
      </c>
      <c r="AU1987" t="s">
        <v>73</v>
      </c>
      <c r="AV1987">
        <v>621</v>
      </c>
      <c r="AW1987" s="4">
        <v>42793</v>
      </c>
      <c r="BD1987">
        <v>0</v>
      </c>
      <c r="BN1987" t="s">
        <v>74</v>
      </c>
    </row>
    <row r="1988" spans="1:66">
      <c r="A1988">
        <v>104489</v>
      </c>
      <c r="B1988" t="s">
        <v>406</v>
      </c>
      <c r="C1988" s="1">
        <v>43300101</v>
      </c>
      <c r="D1988" t="s">
        <v>67</v>
      </c>
      <c r="H1988" t="str">
        <f t="shared" si="254"/>
        <v>07854330631</v>
      </c>
      <c r="I1988" t="str">
        <f t="shared" si="254"/>
        <v>07854330631</v>
      </c>
      <c r="K1988" t="str">
        <f>""</f>
        <v/>
      </c>
      <c r="M1988" t="s">
        <v>68</v>
      </c>
      <c r="N1988" t="str">
        <f t="shared" si="255"/>
        <v>FOR</v>
      </c>
      <c r="O1988" t="s">
        <v>69</v>
      </c>
      <c r="P1988" t="s">
        <v>75</v>
      </c>
      <c r="Q1988">
        <v>2016</v>
      </c>
      <c r="R1988" s="4">
        <v>42633</v>
      </c>
      <c r="S1988" s="2">
        <v>42655</v>
      </c>
      <c r="T1988" s="2">
        <v>42654</v>
      </c>
      <c r="U1988" s="4">
        <v>42714</v>
      </c>
      <c r="V1988" t="s">
        <v>71</v>
      </c>
      <c r="W1988" t="str">
        <f>"              353/02"</f>
        <v xml:space="preserve">              353/02</v>
      </c>
      <c r="X1988">
        <v>884</v>
      </c>
      <c r="Y1988">
        <v>0</v>
      </c>
      <c r="Z1988" s="5">
        <v>850</v>
      </c>
      <c r="AA1988" s="3">
        <v>79</v>
      </c>
      <c r="AB1988" s="5">
        <v>67150</v>
      </c>
      <c r="AC1988">
        <v>850</v>
      </c>
      <c r="AD1988">
        <v>79</v>
      </c>
      <c r="AE1988" s="1">
        <v>67150</v>
      </c>
      <c r="AF1988">
        <v>0</v>
      </c>
      <c r="AJ1988">
        <v>0</v>
      </c>
      <c r="AK1988">
        <v>0</v>
      </c>
      <c r="AL1988">
        <v>0</v>
      </c>
      <c r="AM1988">
        <v>0</v>
      </c>
      <c r="AN1988">
        <v>0</v>
      </c>
      <c r="AO1988">
        <v>0</v>
      </c>
      <c r="AP1988" s="2">
        <v>42831</v>
      </c>
      <c r="AQ1988" t="s">
        <v>72</v>
      </c>
      <c r="AR1988" t="s">
        <v>72</v>
      </c>
      <c r="AS1988">
        <v>621</v>
      </c>
      <c r="AT1988" s="4">
        <v>42793</v>
      </c>
      <c r="AU1988" t="s">
        <v>73</v>
      </c>
      <c r="AV1988">
        <v>621</v>
      </c>
      <c r="AW1988" s="4">
        <v>42793</v>
      </c>
      <c r="BD1988">
        <v>0</v>
      </c>
      <c r="BN1988" t="s">
        <v>74</v>
      </c>
    </row>
    <row r="1989" spans="1:66">
      <c r="A1989">
        <v>104492</v>
      </c>
      <c r="B1989" t="s">
        <v>407</v>
      </c>
      <c r="C1989" s="1">
        <v>43300101</v>
      </c>
      <c r="D1989" t="s">
        <v>67</v>
      </c>
      <c r="H1989" t="str">
        <f t="shared" ref="H1989:I2017" si="256">"05354730631"</f>
        <v>05354730631</v>
      </c>
      <c r="I1989" t="str">
        <f t="shared" si="256"/>
        <v>05354730631</v>
      </c>
      <c r="K1989" t="str">
        <f>""</f>
        <v/>
      </c>
      <c r="M1989" t="s">
        <v>68</v>
      </c>
      <c r="N1989" t="str">
        <f t="shared" si="255"/>
        <v>FOR</v>
      </c>
      <c r="O1989" t="s">
        <v>69</v>
      </c>
      <c r="P1989" t="s">
        <v>75</v>
      </c>
      <c r="Q1989">
        <v>2016</v>
      </c>
      <c r="R1989" s="4">
        <v>42663</v>
      </c>
      <c r="S1989" s="2">
        <v>42669</v>
      </c>
      <c r="T1989" s="2">
        <v>42664</v>
      </c>
      <c r="U1989" s="4">
        <v>42724</v>
      </c>
      <c r="V1989" t="s">
        <v>71</v>
      </c>
      <c r="W1989" t="str">
        <f>"               F3022"</f>
        <v xml:space="preserve">               F3022</v>
      </c>
      <c r="X1989">
        <v>135.19999999999999</v>
      </c>
      <c r="Y1989">
        <v>0</v>
      </c>
      <c r="Z1989" s="5">
        <v>130</v>
      </c>
      <c r="AA1989" s="3">
        <v>44</v>
      </c>
      <c r="AB1989" s="5">
        <v>5720</v>
      </c>
      <c r="AC1989">
        <v>130</v>
      </c>
      <c r="AD1989">
        <v>44</v>
      </c>
      <c r="AE1989" s="1">
        <v>5720</v>
      </c>
      <c r="AF1989">
        <v>0</v>
      </c>
      <c r="AJ1989">
        <v>0</v>
      </c>
      <c r="AK1989">
        <v>0</v>
      </c>
      <c r="AL1989">
        <v>0</v>
      </c>
      <c r="AM1989">
        <v>0</v>
      </c>
      <c r="AN1989">
        <v>0</v>
      </c>
      <c r="AO1989">
        <v>0</v>
      </c>
      <c r="AP1989" s="2">
        <v>42831</v>
      </c>
      <c r="AQ1989" t="s">
        <v>72</v>
      </c>
      <c r="AR1989" t="s">
        <v>72</v>
      </c>
      <c r="AS1989">
        <v>269</v>
      </c>
      <c r="AT1989" s="4">
        <v>42768</v>
      </c>
      <c r="AU1989" t="s">
        <v>73</v>
      </c>
      <c r="AV1989">
        <v>269</v>
      </c>
      <c r="AW1989" s="4">
        <v>42768</v>
      </c>
      <c r="BD1989">
        <v>0</v>
      </c>
      <c r="BN1989" t="s">
        <v>74</v>
      </c>
    </row>
    <row r="1990" spans="1:66">
      <c r="A1990">
        <v>104492</v>
      </c>
      <c r="B1990" t="s">
        <v>407</v>
      </c>
      <c r="C1990" s="1">
        <v>43300101</v>
      </c>
      <c r="D1990" t="s">
        <v>67</v>
      </c>
      <c r="H1990" t="str">
        <f t="shared" si="256"/>
        <v>05354730631</v>
      </c>
      <c r="I1990" t="str">
        <f t="shared" si="256"/>
        <v>05354730631</v>
      </c>
      <c r="K1990" t="str">
        <f>""</f>
        <v/>
      </c>
      <c r="M1990" t="s">
        <v>68</v>
      </c>
      <c r="N1990" t="str">
        <f t="shared" si="255"/>
        <v>FOR</v>
      </c>
      <c r="O1990" t="s">
        <v>69</v>
      </c>
      <c r="P1990" t="s">
        <v>75</v>
      </c>
      <c r="Q1990">
        <v>2016</v>
      </c>
      <c r="R1990" s="4">
        <v>42663</v>
      </c>
      <c r="S1990" s="2">
        <v>42669</v>
      </c>
      <c r="T1990" s="2">
        <v>42664</v>
      </c>
      <c r="U1990" s="4">
        <v>42724</v>
      </c>
      <c r="V1990" t="s">
        <v>71</v>
      </c>
      <c r="W1990" t="str">
        <f>"               F3049"</f>
        <v xml:space="preserve">               F3049</v>
      </c>
      <c r="X1990">
        <v>104</v>
      </c>
      <c r="Y1990">
        <v>0</v>
      </c>
      <c r="Z1990" s="5">
        <v>100</v>
      </c>
      <c r="AA1990" s="3">
        <v>44</v>
      </c>
      <c r="AB1990" s="5">
        <v>4400</v>
      </c>
      <c r="AC1990">
        <v>100</v>
      </c>
      <c r="AD1990">
        <v>44</v>
      </c>
      <c r="AE1990" s="1">
        <v>4400</v>
      </c>
      <c r="AF1990">
        <v>0</v>
      </c>
      <c r="AJ1990">
        <v>0</v>
      </c>
      <c r="AK1990">
        <v>0</v>
      </c>
      <c r="AL1990">
        <v>0</v>
      </c>
      <c r="AM1990">
        <v>0</v>
      </c>
      <c r="AN1990">
        <v>0</v>
      </c>
      <c r="AO1990">
        <v>0</v>
      </c>
      <c r="AP1990" s="2">
        <v>42831</v>
      </c>
      <c r="AQ1990" t="s">
        <v>72</v>
      </c>
      <c r="AR1990" t="s">
        <v>72</v>
      </c>
      <c r="AS1990">
        <v>269</v>
      </c>
      <c r="AT1990" s="4">
        <v>42768</v>
      </c>
      <c r="AU1990" t="s">
        <v>73</v>
      </c>
      <c r="AV1990">
        <v>269</v>
      </c>
      <c r="AW1990" s="4">
        <v>42768</v>
      </c>
      <c r="BD1990">
        <v>0</v>
      </c>
      <c r="BN1990" t="s">
        <v>74</v>
      </c>
    </row>
    <row r="1991" spans="1:66">
      <c r="A1991">
        <v>104492</v>
      </c>
      <c r="B1991" t="s">
        <v>407</v>
      </c>
      <c r="C1991" s="1">
        <v>43300101</v>
      </c>
      <c r="D1991" t="s">
        <v>67</v>
      </c>
      <c r="H1991" t="str">
        <f t="shared" si="256"/>
        <v>05354730631</v>
      </c>
      <c r="I1991" t="str">
        <f t="shared" si="256"/>
        <v>05354730631</v>
      </c>
      <c r="K1991" t="str">
        <f>""</f>
        <v/>
      </c>
      <c r="M1991" t="s">
        <v>68</v>
      </c>
      <c r="N1991" t="str">
        <f t="shared" si="255"/>
        <v>FOR</v>
      </c>
      <c r="O1991" t="s">
        <v>69</v>
      </c>
      <c r="P1991" t="s">
        <v>75</v>
      </c>
      <c r="Q1991">
        <v>2016</v>
      </c>
      <c r="R1991" s="4">
        <v>42684</v>
      </c>
      <c r="S1991" s="2">
        <v>42690</v>
      </c>
      <c r="T1991" s="2">
        <v>42684</v>
      </c>
      <c r="U1991" s="4">
        <v>42744</v>
      </c>
      <c r="V1991" t="s">
        <v>71</v>
      </c>
      <c r="W1991" t="str">
        <f>"               F3267"</f>
        <v xml:space="preserve">               F3267</v>
      </c>
      <c r="X1991">
        <v>104</v>
      </c>
      <c r="Y1991">
        <v>0</v>
      </c>
      <c r="Z1991" s="5">
        <v>100</v>
      </c>
      <c r="AA1991" s="3">
        <v>24</v>
      </c>
      <c r="AB1991" s="5">
        <v>2400</v>
      </c>
      <c r="AC1991">
        <v>100</v>
      </c>
      <c r="AD1991">
        <v>24</v>
      </c>
      <c r="AE1991" s="1">
        <v>2400</v>
      </c>
      <c r="AF1991">
        <v>0</v>
      </c>
      <c r="AJ1991">
        <v>0</v>
      </c>
      <c r="AK1991">
        <v>0</v>
      </c>
      <c r="AL1991">
        <v>0</v>
      </c>
      <c r="AM1991">
        <v>0</v>
      </c>
      <c r="AN1991">
        <v>0</v>
      </c>
      <c r="AO1991">
        <v>0</v>
      </c>
      <c r="AP1991" s="2">
        <v>42831</v>
      </c>
      <c r="AQ1991" t="s">
        <v>72</v>
      </c>
      <c r="AR1991" t="s">
        <v>72</v>
      </c>
      <c r="AS1991">
        <v>269</v>
      </c>
      <c r="AT1991" s="4">
        <v>42768</v>
      </c>
      <c r="AU1991" t="s">
        <v>73</v>
      </c>
      <c r="AV1991">
        <v>269</v>
      </c>
      <c r="AW1991" s="4">
        <v>42768</v>
      </c>
      <c r="BD1991">
        <v>0</v>
      </c>
      <c r="BN1991" t="s">
        <v>74</v>
      </c>
    </row>
    <row r="1992" spans="1:66">
      <c r="A1992">
        <v>104492</v>
      </c>
      <c r="B1992" t="s">
        <v>407</v>
      </c>
      <c r="C1992" s="1">
        <v>43300101</v>
      </c>
      <c r="D1992" t="s">
        <v>67</v>
      </c>
      <c r="H1992" t="str">
        <f t="shared" si="256"/>
        <v>05354730631</v>
      </c>
      <c r="I1992" t="str">
        <f t="shared" si="256"/>
        <v>05354730631</v>
      </c>
      <c r="K1992" t="str">
        <f>""</f>
        <v/>
      </c>
      <c r="M1992" t="s">
        <v>68</v>
      </c>
      <c r="N1992" t="str">
        <f t="shared" si="255"/>
        <v>FOR</v>
      </c>
      <c r="O1992" t="s">
        <v>69</v>
      </c>
      <c r="P1992" t="s">
        <v>75</v>
      </c>
      <c r="Q1992">
        <v>2016</v>
      </c>
      <c r="R1992" s="4">
        <v>42684</v>
      </c>
      <c r="S1992" s="2">
        <v>42690</v>
      </c>
      <c r="T1992" s="2">
        <v>42684</v>
      </c>
      <c r="U1992" s="4">
        <v>42744</v>
      </c>
      <c r="V1992" t="s">
        <v>71</v>
      </c>
      <c r="W1992" t="str">
        <f>"               F3268"</f>
        <v xml:space="preserve">               F3268</v>
      </c>
      <c r="X1992">
        <v>104</v>
      </c>
      <c r="Y1992">
        <v>0</v>
      </c>
      <c r="Z1992" s="5">
        <v>100</v>
      </c>
      <c r="AA1992" s="3">
        <v>24</v>
      </c>
      <c r="AB1992" s="5">
        <v>2400</v>
      </c>
      <c r="AC1992">
        <v>100</v>
      </c>
      <c r="AD1992">
        <v>24</v>
      </c>
      <c r="AE1992" s="1">
        <v>2400</v>
      </c>
      <c r="AF1992">
        <v>0</v>
      </c>
      <c r="AJ1992">
        <v>0</v>
      </c>
      <c r="AK1992">
        <v>0</v>
      </c>
      <c r="AL1992">
        <v>0</v>
      </c>
      <c r="AM1992">
        <v>0</v>
      </c>
      <c r="AN1992">
        <v>0</v>
      </c>
      <c r="AO1992">
        <v>0</v>
      </c>
      <c r="AP1992" s="2">
        <v>42831</v>
      </c>
      <c r="AQ1992" t="s">
        <v>72</v>
      </c>
      <c r="AR1992" t="s">
        <v>72</v>
      </c>
      <c r="AS1992">
        <v>269</v>
      </c>
      <c r="AT1992" s="4">
        <v>42768</v>
      </c>
      <c r="AU1992" t="s">
        <v>73</v>
      </c>
      <c r="AV1992">
        <v>269</v>
      </c>
      <c r="AW1992" s="4">
        <v>42768</v>
      </c>
      <c r="BD1992">
        <v>0</v>
      </c>
      <c r="BN1992" t="s">
        <v>74</v>
      </c>
    </row>
    <row r="1993" spans="1:66">
      <c r="A1993">
        <v>104492</v>
      </c>
      <c r="B1993" t="s">
        <v>407</v>
      </c>
      <c r="C1993" s="1">
        <v>43300101</v>
      </c>
      <c r="D1993" t="s">
        <v>67</v>
      </c>
      <c r="H1993" t="str">
        <f t="shared" si="256"/>
        <v>05354730631</v>
      </c>
      <c r="I1993" t="str">
        <f t="shared" si="256"/>
        <v>05354730631</v>
      </c>
      <c r="K1993" t="str">
        <f>""</f>
        <v/>
      </c>
      <c r="M1993" t="s">
        <v>68</v>
      </c>
      <c r="N1993" t="str">
        <f t="shared" si="255"/>
        <v>FOR</v>
      </c>
      <c r="O1993" t="s">
        <v>69</v>
      </c>
      <c r="P1993" t="s">
        <v>75</v>
      </c>
      <c r="Q1993">
        <v>2016</v>
      </c>
      <c r="R1993" s="4">
        <v>42684</v>
      </c>
      <c r="S1993" s="2">
        <v>42690</v>
      </c>
      <c r="T1993" s="2">
        <v>42684</v>
      </c>
      <c r="U1993" s="4">
        <v>42744</v>
      </c>
      <c r="V1993" t="s">
        <v>71</v>
      </c>
      <c r="W1993" t="str">
        <f>"               F3269"</f>
        <v xml:space="preserve">               F3269</v>
      </c>
      <c r="X1993">
        <v>104</v>
      </c>
      <c r="Y1993">
        <v>0</v>
      </c>
      <c r="Z1993" s="5">
        <v>100</v>
      </c>
      <c r="AA1993" s="3">
        <v>24</v>
      </c>
      <c r="AB1993" s="5">
        <v>2400</v>
      </c>
      <c r="AC1993">
        <v>100</v>
      </c>
      <c r="AD1993">
        <v>24</v>
      </c>
      <c r="AE1993" s="1">
        <v>2400</v>
      </c>
      <c r="AF1993">
        <v>0</v>
      </c>
      <c r="AJ1993">
        <v>0</v>
      </c>
      <c r="AK1993">
        <v>0</v>
      </c>
      <c r="AL1993">
        <v>0</v>
      </c>
      <c r="AM1993">
        <v>0</v>
      </c>
      <c r="AN1993">
        <v>0</v>
      </c>
      <c r="AO1993">
        <v>0</v>
      </c>
      <c r="AP1993" s="2">
        <v>42831</v>
      </c>
      <c r="AQ1993" t="s">
        <v>72</v>
      </c>
      <c r="AR1993" t="s">
        <v>72</v>
      </c>
      <c r="AS1993">
        <v>269</v>
      </c>
      <c r="AT1993" s="4">
        <v>42768</v>
      </c>
      <c r="AU1993" t="s">
        <v>73</v>
      </c>
      <c r="AV1993">
        <v>269</v>
      </c>
      <c r="AW1993" s="4">
        <v>42768</v>
      </c>
      <c r="BD1993">
        <v>0</v>
      </c>
      <c r="BN1993" t="s">
        <v>74</v>
      </c>
    </row>
    <row r="1994" spans="1:66">
      <c r="A1994">
        <v>104492</v>
      </c>
      <c r="B1994" t="s">
        <v>407</v>
      </c>
      <c r="C1994" s="1">
        <v>43300101</v>
      </c>
      <c r="D1994" t="s">
        <v>67</v>
      </c>
      <c r="H1994" t="str">
        <f t="shared" si="256"/>
        <v>05354730631</v>
      </c>
      <c r="I1994" t="str">
        <f t="shared" si="256"/>
        <v>05354730631</v>
      </c>
      <c r="K1994" t="str">
        <f>""</f>
        <v/>
      </c>
      <c r="M1994" t="s">
        <v>68</v>
      </c>
      <c r="N1994" t="str">
        <f t="shared" si="255"/>
        <v>FOR</v>
      </c>
      <c r="O1994" t="s">
        <v>69</v>
      </c>
      <c r="P1994" t="s">
        <v>75</v>
      </c>
      <c r="Q1994">
        <v>2016</v>
      </c>
      <c r="R1994" s="4">
        <v>42685</v>
      </c>
      <c r="S1994" s="2">
        <v>42690</v>
      </c>
      <c r="T1994" s="2">
        <v>42688</v>
      </c>
      <c r="U1994" s="4">
        <v>42748</v>
      </c>
      <c r="V1994" t="s">
        <v>71</v>
      </c>
      <c r="W1994" t="str">
        <f>"               F3275"</f>
        <v xml:space="preserve">               F3275</v>
      </c>
      <c r="X1994">
        <v>135.19999999999999</v>
      </c>
      <c r="Y1994">
        <v>0</v>
      </c>
      <c r="Z1994" s="5">
        <v>130</v>
      </c>
      <c r="AA1994" s="3">
        <v>20</v>
      </c>
      <c r="AB1994" s="5">
        <v>2600</v>
      </c>
      <c r="AC1994">
        <v>130</v>
      </c>
      <c r="AD1994">
        <v>20</v>
      </c>
      <c r="AE1994" s="1">
        <v>2600</v>
      </c>
      <c r="AF1994">
        <v>0</v>
      </c>
      <c r="AJ1994">
        <v>0</v>
      </c>
      <c r="AK1994">
        <v>0</v>
      </c>
      <c r="AL1994">
        <v>0</v>
      </c>
      <c r="AM1994">
        <v>0</v>
      </c>
      <c r="AN1994">
        <v>0</v>
      </c>
      <c r="AO1994">
        <v>0</v>
      </c>
      <c r="AP1994" s="2">
        <v>42831</v>
      </c>
      <c r="AQ1994" t="s">
        <v>72</v>
      </c>
      <c r="AR1994" t="s">
        <v>72</v>
      </c>
      <c r="AS1994">
        <v>269</v>
      </c>
      <c r="AT1994" s="4">
        <v>42768</v>
      </c>
      <c r="AU1994" t="s">
        <v>73</v>
      </c>
      <c r="AV1994">
        <v>269</v>
      </c>
      <c r="AW1994" s="4">
        <v>42768</v>
      </c>
      <c r="BD1994">
        <v>0</v>
      </c>
      <c r="BN1994" t="s">
        <v>74</v>
      </c>
    </row>
    <row r="1995" spans="1:66">
      <c r="A1995">
        <v>104492</v>
      </c>
      <c r="B1995" t="s">
        <v>407</v>
      </c>
      <c r="C1995" s="1">
        <v>43300101</v>
      </c>
      <c r="D1995" t="s">
        <v>67</v>
      </c>
      <c r="H1995" t="str">
        <f t="shared" si="256"/>
        <v>05354730631</v>
      </c>
      <c r="I1995" t="str">
        <f t="shared" si="256"/>
        <v>05354730631</v>
      </c>
      <c r="K1995" t="str">
        <f>""</f>
        <v/>
      </c>
      <c r="M1995" t="s">
        <v>68</v>
      </c>
      <c r="N1995" t="str">
        <f t="shared" si="255"/>
        <v>FOR</v>
      </c>
      <c r="O1995" t="s">
        <v>69</v>
      </c>
      <c r="P1995" t="s">
        <v>75</v>
      </c>
      <c r="Q1995">
        <v>2016</v>
      </c>
      <c r="R1995" s="4">
        <v>42690</v>
      </c>
      <c r="S1995" s="2">
        <v>42697</v>
      </c>
      <c r="T1995" s="2">
        <v>42692</v>
      </c>
      <c r="U1995" s="4">
        <v>42752</v>
      </c>
      <c r="V1995" t="s">
        <v>71</v>
      </c>
      <c r="W1995" t="str">
        <f>"               F3348"</f>
        <v xml:space="preserve">               F3348</v>
      </c>
      <c r="X1995" s="1">
        <v>1464</v>
      </c>
      <c r="Y1995">
        <v>0</v>
      </c>
      <c r="Z1995" s="5">
        <v>1200</v>
      </c>
      <c r="AA1995" s="3">
        <v>16</v>
      </c>
      <c r="AB1995" s="5">
        <v>19200</v>
      </c>
      <c r="AC1995" s="1">
        <v>1200</v>
      </c>
      <c r="AD1995">
        <v>16</v>
      </c>
      <c r="AE1995" s="1">
        <v>19200</v>
      </c>
      <c r="AF1995">
        <v>0</v>
      </c>
      <c r="AJ1995">
        <v>0</v>
      </c>
      <c r="AK1995">
        <v>0</v>
      </c>
      <c r="AL1995">
        <v>0</v>
      </c>
      <c r="AM1995">
        <v>0</v>
      </c>
      <c r="AN1995">
        <v>0</v>
      </c>
      <c r="AO1995">
        <v>0</v>
      </c>
      <c r="AP1995" s="2">
        <v>42831</v>
      </c>
      <c r="AQ1995" t="s">
        <v>72</v>
      </c>
      <c r="AR1995" t="s">
        <v>72</v>
      </c>
      <c r="AS1995">
        <v>269</v>
      </c>
      <c r="AT1995" s="4">
        <v>42768</v>
      </c>
      <c r="AU1995" t="s">
        <v>73</v>
      </c>
      <c r="AV1995">
        <v>269</v>
      </c>
      <c r="AW1995" s="4">
        <v>42768</v>
      </c>
      <c r="BD1995">
        <v>0</v>
      </c>
      <c r="BN1995" t="s">
        <v>74</v>
      </c>
    </row>
    <row r="1996" spans="1:66">
      <c r="A1996">
        <v>104492</v>
      </c>
      <c r="B1996" t="s">
        <v>407</v>
      </c>
      <c r="C1996" s="1">
        <v>43300101</v>
      </c>
      <c r="D1996" t="s">
        <v>67</v>
      </c>
      <c r="H1996" t="str">
        <f t="shared" si="256"/>
        <v>05354730631</v>
      </c>
      <c r="I1996" t="str">
        <f t="shared" si="256"/>
        <v>05354730631</v>
      </c>
      <c r="K1996" t="str">
        <f>""</f>
        <v/>
      </c>
      <c r="M1996" t="s">
        <v>68</v>
      </c>
      <c r="N1996" t="str">
        <f t="shared" si="255"/>
        <v>FOR</v>
      </c>
      <c r="O1996" t="s">
        <v>69</v>
      </c>
      <c r="P1996" t="s">
        <v>75</v>
      </c>
      <c r="Q1996">
        <v>2016</v>
      </c>
      <c r="R1996" s="4">
        <v>42698</v>
      </c>
      <c r="S1996" s="2">
        <v>42704</v>
      </c>
      <c r="T1996" s="2">
        <v>42698</v>
      </c>
      <c r="U1996" s="4">
        <v>42758</v>
      </c>
      <c r="V1996" t="s">
        <v>71</v>
      </c>
      <c r="W1996" t="str">
        <f>"               F3426"</f>
        <v xml:space="preserve">               F3426</v>
      </c>
      <c r="X1996" s="1">
        <v>1756.8</v>
      </c>
      <c r="Y1996">
        <v>0</v>
      </c>
      <c r="Z1996" s="5">
        <v>1440</v>
      </c>
      <c r="AA1996" s="3">
        <v>10</v>
      </c>
      <c r="AB1996" s="5">
        <v>14400</v>
      </c>
      <c r="AC1996" s="1">
        <v>1440</v>
      </c>
      <c r="AD1996">
        <v>10</v>
      </c>
      <c r="AE1996" s="1">
        <v>14400</v>
      </c>
      <c r="AF1996">
        <v>0</v>
      </c>
      <c r="AJ1996">
        <v>0</v>
      </c>
      <c r="AK1996">
        <v>0</v>
      </c>
      <c r="AL1996">
        <v>0</v>
      </c>
      <c r="AM1996">
        <v>0</v>
      </c>
      <c r="AN1996">
        <v>0</v>
      </c>
      <c r="AO1996">
        <v>0</v>
      </c>
      <c r="AP1996" s="2">
        <v>42831</v>
      </c>
      <c r="AQ1996" t="s">
        <v>72</v>
      </c>
      <c r="AR1996" t="s">
        <v>72</v>
      </c>
      <c r="AS1996">
        <v>269</v>
      </c>
      <c r="AT1996" s="4">
        <v>42768</v>
      </c>
      <c r="AU1996" t="s">
        <v>73</v>
      </c>
      <c r="AV1996">
        <v>269</v>
      </c>
      <c r="AW1996" s="4">
        <v>42768</v>
      </c>
      <c r="BD1996">
        <v>0</v>
      </c>
      <c r="BN1996" t="s">
        <v>74</v>
      </c>
    </row>
    <row r="1997" spans="1:66">
      <c r="A1997">
        <v>104492</v>
      </c>
      <c r="B1997" t="s">
        <v>407</v>
      </c>
      <c r="C1997" s="1">
        <v>43300101</v>
      </c>
      <c r="D1997" t="s">
        <v>67</v>
      </c>
      <c r="H1997" t="str">
        <f t="shared" si="256"/>
        <v>05354730631</v>
      </c>
      <c r="I1997" t="str">
        <f t="shared" si="256"/>
        <v>05354730631</v>
      </c>
      <c r="K1997" t="str">
        <f>""</f>
        <v/>
      </c>
      <c r="M1997" t="s">
        <v>68</v>
      </c>
      <c r="N1997" t="str">
        <f t="shared" si="255"/>
        <v>FOR</v>
      </c>
      <c r="O1997" t="s">
        <v>69</v>
      </c>
      <c r="P1997" t="s">
        <v>75</v>
      </c>
      <c r="Q1997">
        <v>2016</v>
      </c>
      <c r="R1997" s="4">
        <v>42703</v>
      </c>
      <c r="S1997" s="2">
        <v>42705</v>
      </c>
      <c r="T1997" s="2">
        <v>42704</v>
      </c>
      <c r="U1997" s="4">
        <v>42764</v>
      </c>
      <c r="V1997" t="s">
        <v>71</v>
      </c>
      <c r="W1997" t="str">
        <f>"               F3479"</f>
        <v xml:space="preserve">               F3479</v>
      </c>
      <c r="X1997">
        <v>135.19999999999999</v>
      </c>
      <c r="Y1997">
        <v>0</v>
      </c>
      <c r="Z1997" s="5">
        <v>130</v>
      </c>
      <c r="AA1997" s="3">
        <v>9</v>
      </c>
      <c r="AB1997" s="5">
        <v>1170</v>
      </c>
      <c r="AC1997">
        <v>130</v>
      </c>
      <c r="AD1997">
        <v>9</v>
      </c>
      <c r="AE1997" s="1">
        <v>1170</v>
      </c>
      <c r="AF1997">
        <v>0</v>
      </c>
      <c r="AJ1997">
        <v>0</v>
      </c>
      <c r="AK1997">
        <v>0</v>
      </c>
      <c r="AL1997">
        <v>0</v>
      </c>
      <c r="AM1997">
        <v>0</v>
      </c>
      <c r="AN1997">
        <v>0</v>
      </c>
      <c r="AO1997">
        <v>0</v>
      </c>
      <c r="AP1997" s="2">
        <v>42831</v>
      </c>
      <c r="AQ1997" t="s">
        <v>72</v>
      </c>
      <c r="AR1997" t="s">
        <v>72</v>
      </c>
      <c r="AS1997">
        <v>308</v>
      </c>
      <c r="AT1997" s="4">
        <v>42773</v>
      </c>
      <c r="AU1997" t="s">
        <v>73</v>
      </c>
      <c r="AV1997">
        <v>308</v>
      </c>
      <c r="AW1997" s="4">
        <v>42773</v>
      </c>
      <c r="BD1997">
        <v>0</v>
      </c>
      <c r="BN1997" t="s">
        <v>74</v>
      </c>
    </row>
    <row r="1998" spans="1:66">
      <c r="A1998">
        <v>104492</v>
      </c>
      <c r="B1998" t="s">
        <v>407</v>
      </c>
      <c r="C1998" s="1">
        <v>43300101</v>
      </c>
      <c r="D1998" t="s">
        <v>67</v>
      </c>
      <c r="H1998" t="str">
        <f t="shared" si="256"/>
        <v>05354730631</v>
      </c>
      <c r="I1998" t="str">
        <f t="shared" si="256"/>
        <v>05354730631</v>
      </c>
      <c r="K1998" t="str">
        <f>""</f>
        <v/>
      </c>
      <c r="M1998" t="s">
        <v>68</v>
      </c>
      <c r="N1998" t="str">
        <f t="shared" si="255"/>
        <v>FOR</v>
      </c>
      <c r="O1998" t="s">
        <v>69</v>
      </c>
      <c r="P1998" t="s">
        <v>75</v>
      </c>
      <c r="Q1998">
        <v>2016</v>
      </c>
      <c r="R1998" s="4">
        <v>42703</v>
      </c>
      <c r="S1998" s="2">
        <v>42705</v>
      </c>
      <c r="T1998" s="2">
        <v>42704</v>
      </c>
      <c r="U1998" s="4">
        <v>42764</v>
      </c>
      <c r="V1998" t="s">
        <v>71</v>
      </c>
      <c r="W1998" t="str">
        <f>"               F3480"</f>
        <v xml:space="preserve">               F3480</v>
      </c>
      <c r="X1998">
        <v>104</v>
      </c>
      <c r="Y1998">
        <v>0</v>
      </c>
      <c r="Z1998" s="5">
        <v>100</v>
      </c>
      <c r="AA1998" s="3">
        <v>9</v>
      </c>
      <c r="AB1998" s="3">
        <v>900</v>
      </c>
      <c r="AC1998">
        <v>100</v>
      </c>
      <c r="AD1998">
        <v>9</v>
      </c>
      <c r="AE1998">
        <v>900</v>
      </c>
      <c r="AF1998">
        <v>0</v>
      </c>
      <c r="AJ1998">
        <v>0</v>
      </c>
      <c r="AK1998">
        <v>0</v>
      </c>
      <c r="AL1998">
        <v>0</v>
      </c>
      <c r="AM1998">
        <v>0</v>
      </c>
      <c r="AN1998">
        <v>0</v>
      </c>
      <c r="AO1998">
        <v>0</v>
      </c>
      <c r="AP1998" s="2">
        <v>42831</v>
      </c>
      <c r="AQ1998" t="s">
        <v>72</v>
      </c>
      <c r="AR1998" t="s">
        <v>72</v>
      </c>
      <c r="AS1998">
        <v>308</v>
      </c>
      <c r="AT1998" s="4">
        <v>42773</v>
      </c>
      <c r="AU1998" t="s">
        <v>73</v>
      </c>
      <c r="AV1998">
        <v>308</v>
      </c>
      <c r="AW1998" s="4">
        <v>42773</v>
      </c>
      <c r="BD1998">
        <v>0</v>
      </c>
      <c r="BN1998" t="s">
        <v>74</v>
      </c>
    </row>
    <row r="1999" spans="1:66">
      <c r="A1999">
        <v>104492</v>
      </c>
      <c r="B1999" t="s">
        <v>407</v>
      </c>
      <c r="C1999" s="1">
        <v>43300101</v>
      </c>
      <c r="D1999" t="s">
        <v>67</v>
      </c>
      <c r="H1999" t="str">
        <f t="shared" si="256"/>
        <v>05354730631</v>
      </c>
      <c r="I1999" t="str">
        <f t="shared" si="256"/>
        <v>05354730631</v>
      </c>
      <c r="K1999" t="str">
        <f>""</f>
        <v/>
      </c>
      <c r="M1999" t="s">
        <v>68</v>
      </c>
      <c r="N1999" t="str">
        <f t="shared" si="255"/>
        <v>FOR</v>
      </c>
      <c r="O1999" t="s">
        <v>69</v>
      </c>
      <c r="P1999" t="s">
        <v>75</v>
      </c>
      <c r="Q1999">
        <v>2016</v>
      </c>
      <c r="R1999" s="4">
        <v>42703</v>
      </c>
      <c r="S1999" s="2">
        <v>42705</v>
      </c>
      <c r="T1999" s="2">
        <v>42704</v>
      </c>
      <c r="U1999" s="4">
        <v>42764</v>
      </c>
      <c r="V1999" t="s">
        <v>71</v>
      </c>
      <c r="W1999" t="str">
        <f>"               F3481"</f>
        <v xml:space="preserve">               F3481</v>
      </c>
      <c r="X1999">
        <v>104</v>
      </c>
      <c r="Y1999">
        <v>0</v>
      </c>
      <c r="Z1999" s="5">
        <v>100</v>
      </c>
      <c r="AA1999" s="3">
        <v>9</v>
      </c>
      <c r="AB1999" s="3">
        <v>900</v>
      </c>
      <c r="AC1999">
        <v>100</v>
      </c>
      <c r="AD1999">
        <v>9</v>
      </c>
      <c r="AE1999">
        <v>900</v>
      </c>
      <c r="AF1999">
        <v>0</v>
      </c>
      <c r="AJ1999">
        <v>0</v>
      </c>
      <c r="AK1999">
        <v>0</v>
      </c>
      <c r="AL1999">
        <v>0</v>
      </c>
      <c r="AM1999">
        <v>0</v>
      </c>
      <c r="AN1999">
        <v>0</v>
      </c>
      <c r="AO1999">
        <v>0</v>
      </c>
      <c r="AP1999" s="2">
        <v>42831</v>
      </c>
      <c r="AQ1999" t="s">
        <v>72</v>
      </c>
      <c r="AR1999" t="s">
        <v>72</v>
      </c>
      <c r="AS1999">
        <v>308</v>
      </c>
      <c r="AT1999" s="4">
        <v>42773</v>
      </c>
      <c r="AU1999" t="s">
        <v>73</v>
      </c>
      <c r="AV1999">
        <v>308</v>
      </c>
      <c r="AW1999" s="4">
        <v>42773</v>
      </c>
      <c r="BD1999">
        <v>0</v>
      </c>
      <c r="BN1999" t="s">
        <v>74</v>
      </c>
    </row>
    <row r="2000" spans="1:66">
      <c r="A2000">
        <v>104492</v>
      </c>
      <c r="B2000" t="s">
        <v>407</v>
      </c>
      <c r="C2000" s="1">
        <v>43300101</v>
      </c>
      <c r="D2000" t="s">
        <v>67</v>
      </c>
      <c r="H2000" t="str">
        <f t="shared" si="256"/>
        <v>05354730631</v>
      </c>
      <c r="I2000" t="str">
        <f t="shared" si="256"/>
        <v>05354730631</v>
      </c>
      <c r="K2000" t="str">
        <f>""</f>
        <v/>
      </c>
      <c r="M2000" t="s">
        <v>68</v>
      </c>
      <c r="N2000" t="str">
        <f t="shared" si="255"/>
        <v>FOR</v>
      </c>
      <c r="O2000" t="s">
        <v>69</v>
      </c>
      <c r="P2000" t="s">
        <v>75</v>
      </c>
      <c r="Q2000">
        <v>2016</v>
      </c>
      <c r="R2000" s="4">
        <v>42703</v>
      </c>
      <c r="S2000" s="2">
        <v>42705</v>
      </c>
      <c r="T2000" s="2">
        <v>42704</v>
      </c>
      <c r="U2000" s="4">
        <v>42764</v>
      </c>
      <c r="V2000" t="s">
        <v>71</v>
      </c>
      <c r="W2000" t="str">
        <f>"               F3482"</f>
        <v xml:space="preserve">               F3482</v>
      </c>
      <c r="X2000">
        <v>135.19999999999999</v>
      </c>
      <c r="Y2000">
        <v>0</v>
      </c>
      <c r="Z2000" s="5">
        <v>130</v>
      </c>
      <c r="AA2000" s="3">
        <v>9</v>
      </c>
      <c r="AB2000" s="5">
        <v>1170</v>
      </c>
      <c r="AC2000">
        <v>130</v>
      </c>
      <c r="AD2000">
        <v>9</v>
      </c>
      <c r="AE2000" s="1">
        <v>1170</v>
      </c>
      <c r="AF2000">
        <v>0</v>
      </c>
      <c r="AJ2000">
        <v>0</v>
      </c>
      <c r="AK2000">
        <v>0</v>
      </c>
      <c r="AL2000">
        <v>0</v>
      </c>
      <c r="AM2000">
        <v>0</v>
      </c>
      <c r="AN2000">
        <v>0</v>
      </c>
      <c r="AO2000">
        <v>0</v>
      </c>
      <c r="AP2000" s="2">
        <v>42831</v>
      </c>
      <c r="AQ2000" t="s">
        <v>72</v>
      </c>
      <c r="AR2000" t="s">
        <v>72</v>
      </c>
      <c r="AS2000">
        <v>308</v>
      </c>
      <c r="AT2000" s="4">
        <v>42773</v>
      </c>
      <c r="AU2000" t="s">
        <v>73</v>
      </c>
      <c r="AV2000">
        <v>308</v>
      </c>
      <c r="AW2000" s="4">
        <v>42773</v>
      </c>
      <c r="BD2000">
        <v>0</v>
      </c>
      <c r="BN2000" t="s">
        <v>74</v>
      </c>
    </row>
    <row r="2001" spans="1:66">
      <c r="A2001">
        <v>104492</v>
      </c>
      <c r="B2001" t="s">
        <v>407</v>
      </c>
      <c r="C2001" s="1">
        <v>43300101</v>
      </c>
      <c r="D2001" t="s">
        <v>67</v>
      </c>
      <c r="H2001" t="str">
        <f t="shared" si="256"/>
        <v>05354730631</v>
      </c>
      <c r="I2001" t="str">
        <f t="shared" si="256"/>
        <v>05354730631</v>
      </c>
      <c r="K2001" t="str">
        <f>""</f>
        <v/>
      </c>
      <c r="M2001" t="s">
        <v>68</v>
      </c>
      <c r="N2001" t="str">
        <f t="shared" si="255"/>
        <v>FOR</v>
      </c>
      <c r="O2001" t="s">
        <v>69</v>
      </c>
      <c r="P2001" t="s">
        <v>75</v>
      </c>
      <c r="Q2001">
        <v>2016</v>
      </c>
      <c r="R2001" s="4">
        <v>42703</v>
      </c>
      <c r="S2001" s="2">
        <v>42705</v>
      </c>
      <c r="T2001" s="2">
        <v>42704</v>
      </c>
      <c r="U2001" s="4">
        <v>42764</v>
      </c>
      <c r="V2001" t="s">
        <v>71</v>
      </c>
      <c r="W2001" t="str">
        <f>"               F3483"</f>
        <v xml:space="preserve">               F3483</v>
      </c>
      <c r="X2001">
        <v>135.19999999999999</v>
      </c>
      <c r="Y2001">
        <v>0</v>
      </c>
      <c r="Z2001" s="5">
        <v>130</v>
      </c>
      <c r="AA2001" s="3">
        <v>9</v>
      </c>
      <c r="AB2001" s="5">
        <v>1170</v>
      </c>
      <c r="AC2001">
        <v>130</v>
      </c>
      <c r="AD2001">
        <v>9</v>
      </c>
      <c r="AE2001" s="1">
        <v>1170</v>
      </c>
      <c r="AF2001">
        <v>0</v>
      </c>
      <c r="AJ2001">
        <v>0</v>
      </c>
      <c r="AK2001">
        <v>0</v>
      </c>
      <c r="AL2001">
        <v>0</v>
      </c>
      <c r="AM2001">
        <v>0</v>
      </c>
      <c r="AN2001">
        <v>0</v>
      </c>
      <c r="AO2001">
        <v>0</v>
      </c>
      <c r="AP2001" s="2">
        <v>42831</v>
      </c>
      <c r="AQ2001" t="s">
        <v>72</v>
      </c>
      <c r="AR2001" t="s">
        <v>72</v>
      </c>
      <c r="AS2001">
        <v>308</v>
      </c>
      <c r="AT2001" s="4">
        <v>42773</v>
      </c>
      <c r="AU2001" t="s">
        <v>73</v>
      </c>
      <c r="AV2001">
        <v>308</v>
      </c>
      <c r="AW2001" s="4">
        <v>42773</v>
      </c>
      <c r="BD2001">
        <v>0</v>
      </c>
      <c r="BN2001" t="s">
        <v>74</v>
      </c>
    </row>
    <row r="2002" spans="1:66">
      <c r="A2002">
        <v>104492</v>
      </c>
      <c r="B2002" t="s">
        <v>407</v>
      </c>
      <c r="C2002" s="1">
        <v>43300101</v>
      </c>
      <c r="D2002" t="s">
        <v>67</v>
      </c>
      <c r="H2002" t="str">
        <f t="shared" si="256"/>
        <v>05354730631</v>
      </c>
      <c r="I2002" t="str">
        <f t="shared" si="256"/>
        <v>05354730631</v>
      </c>
      <c r="K2002" t="str">
        <f>""</f>
        <v/>
      </c>
      <c r="M2002" t="s">
        <v>68</v>
      </c>
      <c r="N2002" t="str">
        <f t="shared" si="255"/>
        <v>FOR</v>
      </c>
      <c r="O2002" t="s">
        <v>69</v>
      </c>
      <c r="P2002" t="s">
        <v>75</v>
      </c>
      <c r="Q2002">
        <v>2016</v>
      </c>
      <c r="R2002" s="4">
        <v>42703</v>
      </c>
      <c r="S2002" s="2">
        <v>42705</v>
      </c>
      <c r="T2002" s="2">
        <v>42704</v>
      </c>
      <c r="U2002" s="4">
        <v>42764</v>
      </c>
      <c r="V2002" t="s">
        <v>71</v>
      </c>
      <c r="W2002" t="str">
        <f>"               F3484"</f>
        <v xml:space="preserve">               F3484</v>
      </c>
      <c r="X2002">
        <v>135.19999999999999</v>
      </c>
      <c r="Y2002">
        <v>0</v>
      </c>
      <c r="Z2002" s="5">
        <v>130</v>
      </c>
      <c r="AA2002" s="3">
        <v>9</v>
      </c>
      <c r="AB2002" s="5">
        <v>1170</v>
      </c>
      <c r="AC2002">
        <v>130</v>
      </c>
      <c r="AD2002">
        <v>9</v>
      </c>
      <c r="AE2002" s="1">
        <v>1170</v>
      </c>
      <c r="AF2002">
        <v>0</v>
      </c>
      <c r="AJ2002">
        <v>0</v>
      </c>
      <c r="AK2002">
        <v>0</v>
      </c>
      <c r="AL2002">
        <v>0</v>
      </c>
      <c r="AM2002">
        <v>0</v>
      </c>
      <c r="AN2002">
        <v>0</v>
      </c>
      <c r="AO2002">
        <v>0</v>
      </c>
      <c r="AP2002" s="2">
        <v>42831</v>
      </c>
      <c r="AQ2002" t="s">
        <v>72</v>
      </c>
      <c r="AR2002" t="s">
        <v>72</v>
      </c>
      <c r="AS2002">
        <v>308</v>
      </c>
      <c r="AT2002" s="4">
        <v>42773</v>
      </c>
      <c r="AU2002" t="s">
        <v>73</v>
      </c>
      <c r="AV2002">
        <v>308</v>
      </c>
      <c r="AW2002" s="4">
        <v>42773</v>
      </c>
      <c r="BD2002">
        <v>0</v>
      </c>
      <c r="BN2002" t="s">
        <v>74</v>
      </c>
    </row>
    <row r="2003" spans="1:66">
      <c r="A2003">
        <v>104492</v>
      </c>
      <c r="B2003" t="s">
        <v>407</v>
      </c>
      <c r="C2003" s="1">
        <v>43300101</v>
      </c>
      <c r="D2003" t="s">
        <v>67</v>
      </c>
      <c r="H2003" t="str">
        <f t="shared" si="256"/>
        <v>05354730631</v>
      </c>
      <c r="I2003" t="str">
        <f t="shared" si="256"/>
        <v>05354730631</v>
      </c>
      <c r="K2003" t="str">
        <f>""</f>
        <v/>
      </c>
      <c r="M2003" t="s">
        <v>68</v>
      </c>
      <c r="N2003" t="str">
        <f t="shared" si="255"/>
        <v>FOR</v>
      </c>
      <c r="O2003" t="s">
        <v>69</v>
      </c>
      <c r="P2003" t="s">
        <v>75</v>
      </c>
      <c r="Q2003">
        <v>2016</v>
      </c>
      <c r="R2003" s="4">
        <v>42703</v>
      </c>
      <c r="S2003" s="2">
        <v>42705</v>
      </c>
      <c r="T2003" s="2">
        <v>42704</v>
      </c>
      <c r="U2003" s="4">
        <v>42764</v>
      </c>
      <c r="V2003" t="s">
        <v>71</v>
      </c>
      <c r="W2003" t="str">
        <f>"               F3485"</f>
        <v xml:space="preserve">               F3485</v>
      </c>
      <c r="X2003">
        <v>104</v>
      </c>
      <c r="Y2003">
        <v>0</v>
      </c>
      <c r="Z2003" s="5">
        <v>100</v>
      </c>
      <c r="AA2003" s="3">
        <v>9</v>
      </c>
      <c r="AB2003" s="3">
        <v>900</v>
      </c>
      <c r="AC2003">
        <v>100</v>
      </c>
      <c r="AD2003">
        <v>9</v>
      </c>
      <c r="AE2003">
        <v>900</v>
      </c>
      <c r="AF2003">
        <v>0</v>
      </c>
      <c r="AJ2003">
        <v>0</v>
      </c>
      <c r="AK2003">
        <v>0</v>
      </c>
      <c r="AL2003">
        <v>0</v>
      </c>
      <c r="AM2003">
        <v>0</v>
      </c>
      <c r="AN2003">
        <v>0</v>
      </c>
      <c r="AO2003">
        <v>0</v>
      </c>
      <c r="AP2003" s="2">
        <v>42831</v>
      </c>
      <c r="AQ2003" t="s">
        <v>72</v>
      </c>
      <c r="AR2003" t="s">
        <v>72</v>
      </c>
      <c r="AS2003">
        <v>308</v>
      </c>
      <c r="AT2003" s="4">
        <v>42773</v>
      </c>
      <c r="AU2003" t="s">
        <v>73</v>
      </c>
      <c r="AV2003">
        <v>308</v>
      </c>
      <c r="AW2003" s="4">
        <v>42773</v>
      </c>
      <c r="BD2003">
        <v>0</v>
      </c>
      <c r="BN2003" t="s">
        <v>74</v>
      </c>
    </row>
    <row r="2004" spans="1:66">
      <c r="A2004">
        <v>104492</v>
      </c>
      <c r="B2004" t="s">
        <v>407</v>
      </c>
      <c r="C2004" s="1">
        <v>43300101</v>
      </c>
      <c r="D2004" t="s">
        <v>67</v>
      </c>
      <c r="H2004" t="str">
        <f t="shared" si="256"/>
        <v>05354730631</v>
      </c>
      <c r="I2004" t="str">
        <f t="shared" si="256"/>
        <v>05354730631</v>
      </c>
      <c r="K2004" t="str">
        <f>""</f>
        <v/>
      </c>
      <c r="M2004" t="s">
        <v>68</v>
      </c>
      <c r="N2004" t="str">
        <f t="shared" si="255"/>
        <v>FOR</v>
      </c>
      <c r="O2004" t="s">
        <v>69</v>
      </c>
      <c r="P2004" t="s">
        <v>75</v>
      </c>
      <c r="Q2004">
        <v>2016</v>
      </c>
      <c r="R2004" s="4">
        <v>42703</v>
      </c>
      <c r="S2004" s="2">
        <v>42705</v>
      </c>
      <c r="T2004" s="2">
        <v>42704</v>
      </c>
      <c r="U2004" s="4">
        <v>42764</v>
      </c>
      <c r="V2004" t="s">
        <v>71</v>
      </c>
      <c r="W2004" t="str">
        <f>"               F3486"</f>
        <v xml:space="preserve">               F3486</v>
      </c>
      <c r="X2004">
        <v>104</v>
      </c>
      <c r="Y2004">
        <v>0</v>
      </c>
      <c r="Z2004" s="5">
        <v>100</v>
      </c>
      <c r="AA2004" s="3">
        <v>9</v>
      </c>
      <c r="AB2004" s="3">
        <v>900</v>
      </c>
      <c r="AC2004">
        <v>100</v>
      </c>
      <c r="AD2004">
        <v>9</v>
      </c>
      <c r="AE2004">
        <v>900</v>
      </c>
      <c r="AF2004">
        <v>0</v>
      </c>
      <c r="AJ2004">
        <v>0</v>
      </c>
      <c r="AK2004">
        <v>0</v>
      </c>
      <c r="AL2004">
        <v>0</v>
      </c>
      <c r="AM2004">
        <v>0</v>
      </c>
      <c r="AN2004">
        <v>0</v>
      </c>
      <c r="AO2004">
        <v>0</v>
      </c>
      <c r="AP2004" s="2">
        <v>42831</v>
      </c>
      <c r="AQ2004" t="s">
        <v>72</v>
      </c>
      <c r="AR2004" t="s">
        <v>72</v>
      </c>
      <c r="AS2004">
        <v>308</v>
      </c>
      <c r="AT2004" s="4">
        <v>42773</v>
      </c>
      <c r="AU2004" t="s">
        <v>73</v>
      </c>
      <c r="AV2004">
        <v>308</v>
      </c>
      <c r="AW2004" s="4">
        <v>42773</v>
      </c>
      <c r="BD2004">
        <v>0</v>
      </c>
      <c r="BN2004" t="s">
        <v>74</v>
      </c>
    </row>
    <row r="2005" spans="1:66">
      <c r="A2005">
        <v>104492</v>
      </c>
      <c r="B2005" t="s">
        <v>407</v>
      </c>
      <c r="C2005" s="1">
        <v>43300101</v>
      </c>
      <c r="D2005" t="s">
        <v>67</v>
      </c>
      <c r="H2005" t="str">
        <f t="shared" si="256"/>
        <v>05354730631</v>
      </c>
      <c r="I2005" t="str">
        <f t="shared" si="256"/>
        <v>05354730631</v>
      </c>
      <c r="K2005" t="str">
        <f>""</f>
        <v/>
      </c>
      <c r="M2005" t="s">
        <v>68</v>
      </c>
      <c r="N2005" t="str">
        <f t="shared" si="255"/>
        <v>FOR</v>
      </c>
      <c r="O2005" t="s">
        <v>69</v>
      </c>
      <c r="P2005" t="s">
        <v>75</v>
      </c>
      <c r="Q2005">
        <v>2016</v>
      </c>
      <c r="R2005" s="4">
        <v>42703</v>
      </c>
      <c r="S2005" s="2">
        <v>42705</v>
      </c>
      <c r="T2005" s="2">
        <v>42704</v>
      </c>
      <c r="U2005" s="4">
        <v>42764</v>
      </c>
      <c r="V2005" t="s">
        <v>71</v>
      </c>
      <c r="W2005" t="str">
        <f>"               F3487"</f>
        <v xml:space="preserve">               F3487</v>
      </c>
      <c r="X2005">
        <v>104</v>
      </c>
      <c r="Y2005">
        <v>0</v>
      </c>
      <c r="Z2005" s="5">
        <v>100</v>
      </c>
      <c r="AA2005" s="3">
        <v>9</v>
      </c>
      <c r="AB2005" s="3">
        <v>900</v>
      </c>
      <c r="AC2005">
        <v>100</v>
      </c>
      <c r="AD2005">
        <v>9</v>
      </c>
      <c r="AE2005">
        <v>900</v>
      </c>
      <c r="AF2005">
        <v>0</v>
      </c>
      <c r="AJ2005">
        <v>0</v>
      </c>
      <c r="AK2005">
        <v>0</v>
      </c>
      <c r="AL2005">
        <v>0</v>
      </c>
      <c r="AM2005">
        <v>0</v>
      </c>
      <c r="AN2005">
        <v>0</v>
      </c>
      <c r="AO2005">
        <v>0</v>
      </c>
      <c r="AP2005" s="2">
        <v>42831</v>
      </c>
      <c r="AQ2005" t="s">
        <v>72</v>
      </c>
      <c r="AR2005" t="s">
        <v>72</v>
      </c>
      <c r="AS2005">
        <v>308</v>
      </c>
      <c r="AT2005" s="4">
        <v>42773</v>
      </c>
      <c r="AU2005" t="s">
        <v>73</v>
      </c>
      <c r="AV2005">
        <v>308</v>
      </c>
      <c r="AW2005" s="4">
        <v>42773</v>
      </c>
      <c r="BD2005">
        <v>0</v>
      </c>
      <c r="BN2005" t="s">
        <v>74</v>
      </c>
    </row>
    <row r="2006" spans="1:66">
      <c r="A2006">
        <v>104492</v>
      </c>
      <c r="B2006" t="s">
        <v>407</v>
      </c>
      <c r="C2006" s="1">
        <v>43300101</v>
      </c>
      <c r="D2006" t="s">
        <v>67</v>
      </c>
      <c r="H2006" t="str">
        <f t="shared" si="256"/>
        <v>05354730631</v>
      </c>
      <c r="I2006" t="str">
        <f t="shared" si="256"/>
        <v>05354730631</v>
      </c>
      <c r="K2006" t="str">
        <f>""</f>
        <v/>
      </c>
      <c r="M2006" t="s">
        <v>68</v>
      </c>
      <c r="N2006" t="str">
        <f t="shared" si="255"/>
        <v>FOR</v>
      </c>
      <c r="O2006" t="s">
        <v>69</v>
      </c>
      <c r="P2006" t="s">
        <v>75</v>
      </c>
      <c r="Q2006">
        <v>2016</v>
      </c>
      <c r="R2006" s="4">
        <v>42703</v>
      </c>
      <c r="S2006" s="2">
        <v>42705</v>
      </c>
      <c r="T2006" s="2">
        <v>42704</v>
      </c>
      <c r="U2006" s="4">
        <v>42764</v>
      </c>
      <c r="V2006" t="s">
        <v>71</v>
      </c>
      <c r="W2006" t="str">
        <f>"               F3488"</f>
        <v xml:space="preserve">               F3488</v>
      </c>
      <c r="X2006">
        <v>104</v>
      </c>
      <c r="Y2006">
        <v>0</v>
      </c>
      <c r="Z2006" s="5">
        <v>100</v>
      </c>
      <c r="AA2006" s="3">
        <v>9</v>
      </c>
      <c r="AB2006" s="3">
        <v>900</v>
      </c>
      <c r="AC2006">
        <v>100</v>
      </c>
      <c r="AD2006">
        <v>9</v>
      </c>
      <c r="AE2006">
        <v>900</v>
      </c>
      <c r="AF2006">
        <v>0</v>
      </c>
      <c r="AJ2006">
        <v>0</v>
      </c>
      <c r="AK2006">
        <v>0</v>
      </c>
      <c r="AL2006">
        <v>0</v>
      </c>
      <c r="AM2006">
        <v>0</v>
      </c>
      <c r="AN2006">
        <v>0</v>
      </c>
      <c r="AO2006">
        <v>0</v>
      </c>
      <c r="AP2006" s="2">
        <v>42831</v>
      </c>
      <c r="AQ2006" t="s">
        <v>72</v>
      </c>
      <c r="AR2006" t="s">
        <v>72</v>
      </c>
      <c r="AS2006">
        <v>308</v>
      </c>
      <c r="AT2006" s="4">
        <v>42773</v>
      </c>
      <c r="AU2006" t="s">
        <v>73</v>
      </c>
      <c r="AV2006">
        <v>308</v>
      </c>
      <c r="AW2006" s="4">
        <v>42773</v>
      </c>
      <c r="BD2006">
        <v>0</v>
      </c>
      <c r="BN2006" t="s">
        <v>74</v>
      </c>
    </row>
    <row r="2007" spans="1:66">
      <c r="A2007">
        <v>104492</v>
      </c>
      <c r="B2007" t="s">
        <v>407</v>
      </c>
      <c r="C2007" s="1">
        <v>43300101</v>
      </c>
      <c r="D2007" t="s">
        <v>67</v>
      </c>
      <c r="H2007" t="str">
        <f t="shared" si="256"/>
        <v>05354730631</v>
      </c>
      <c r="I2007" t="str">
        <f t="shared" si="256"/>
        <v>05354730631</v>
      </c>
      <c r="K2007" t="str">
        <f>""</f>
        <v/>
      </c>
      <c r="M2007" t="s">
        <v>68</v>
      </c>
      <c r="N2007" t="str">
        <f t="shared" si="255"/>
        <v>FOR</v>
      </c>
      <c r="O2007" t="s">
        <v>69</v>
      </c>
      <c r="P2007" t="s">
        <v>75</v>
      </c>
      <c r="Q2007">
        <v>2016</v>
      </c>
      <c r="R2007" s="4">
        <v>42703</v>
      </c>
      <c r="S2007" s="2">
        <v>42705</v>
      </c>
      <c r="T2007" s="2">
        <v>42704</v>
      </c>
      <c r="U2007" s="4">
        <v>42764</v>
      </c>
      <c r="V2007" t="s">
        <v>71</v>
      </c>
      <c r="W2007" t="str">
        <f>"               F3489"</f>
        <v xml:space="preserve">               F3489</v>
      </c>
      <c r="X2007">
        <v>104</v>
      </c>
      <c r="Y2007">
        <v>0</v>
      </c>
      <c r="Z2007" s="5">
        <v>100</v>
      </c>
      <c r="AA2007" s="3">
        <v>9</v>
      </c>
      <c r="AB2007" s="3">
        <v>900</v>
      </c>
      <c r="AC2007">
        <v>100</v>
      </c>
      <c r="AD2007">
        <v>9</v>
      </c>
      <c r="AE2007">
        <v>900</v>
      </c>
      <c r="AF2007">
        <v>0</v>
      </c>
      <c r="AJ2007">
        <v>0</v>
      </c>
      <c r="AK2007">
        <v>0</v>
      </c>
      <c r="AL2007">
        <v>0</v>
      </c>
      <c r="AM2007">
        <v>0</v>
      </c>
      <c r="AN2007">
        <v>0</v>
      </c>
      <c r="AO2007">
        <v>0</v>
      </c>
      <c r="AP2007" s="2">
        <v>42831</v>
      </c>
      <c r="AQ2007" t="s">
        <v>72</v>
      </c>
      <c r="AR2007" t="s">
        <v>72</v>
      </c>
      <c r="AS2007">
        <v>308</v>
      </c>
      <c r="AT2007" s="4">
        <v>42773</v>
      </c>
      <c r="AU2007" t="s">
        <v>73</v>
      </c>
      <c r="AV2007">
        <v>308</v>
      </c>
      <c r="AW2007" s="4">
        <v>42773</v>
      </c>
      <c r="BD2007">
        <v>0</v>
      </c>
      <c r="BN2007" t="s">
        <v>74</v>
      </c>
    </row>
    <row r="2008" spans="1:66">
      <c r="A2008">
        <v>104492</v>
      </c>
      <c r="B2008" t="s">
        <v>407</v>
      </c>
      <c r="C2008" s="1">
        <v>43300101</v>
      </c>
      <c r="D2008" t="s">
        <v>67</v>
      </c>
      <c r="H2008" t="str">
        <f t="shared" si="256"/>
        <v>05354730631</v>
      </c>
      <c r="I2008" t="str">
        <f t="shared" si="256"/>
        <v>05354730631</v>
      </c>
      <c r="K2008" t="str">
        <f>""</f>
        <v/>
      </c>
      <c r="M2008" t="s">
        <v>68</v>
      </c>
      <c r="N2008" t="str">
        <f t="shared" si="255"/>
        <v>FOR</v>
      </c>
      <c r="O2008" t="s">
        <v>69</v>
      </c>
      <c r="P2008" t="s">
        <v>75</v>
      </c>
      <c r="Q2008">
        <v>2016</v>
      </c>
      <c r="R2008" s="4">
        <v>42703</v>
      </c>
      <c r="S2008" s="2">
        <v>42705</v>
      </c>
      <c r="T2008" s="2">
        <v>42704</v>
      </c>
      <c r="U2008" s="4">
        <v>42764</v>
      </c>
      <c r="V2008" t="s">
        <v>71</v>
      </c>
      <c r="W2008" t="str">
        <f>"               F3490"</f>
        <v xml:space="preserve">               F3490</v>
      </c>
      <c r="X2008">
        <v>104</v>
      </c>
      <c r="Y2008">
        <v>0</v>
      </c>
      <c r="Z2008" s="5">
        <v>100</v>
      </c>
      <c r="AA2008" s="3">
        <v>9</v>
      </c>
      <c r="AB2008" s="3">
        <v>900</v>
      </c>
      <c r="AC2008">
        <v>100</v>
      </c>
      <c r="AD2008">
        <v>9</v>
      </c>
      <c r="AE2008">
        <v>900</v>
      </c>
      <c r="AF2008">
        <v>0</v>
      </c>
      <c r="AJ2008">
        <v>0</v>
      </c>
      <c r="AK2008">
        <v>0</v>
      </c>
      <c r="AL2008">
        <v>0</v>
      </c>
      <c r="AM2008">
        <v>0</v>
      </c>
      <c r="AN2008">
        <v>0</v>
      </c>
      <c r="AO2008">
        <v>0</v>
      </c>
      <c r="AP2008" s="2">
        <v>42831</v>
      </c>
      <c r="AQ2008" t="s">
        <v>72</v>
      </c>
      <c r="AR2008" t="s">
        <v>72</v>
      </c>
      <c r="AS2008">
        <v>308</v>
      </c>
      <c r="AT2008" s="4">
        <v>42773</v>
      </c>
      <c r="AU2008" t="s">
        <v>73</v>
      </c>
      <c r="AV2008">
        <v>308</v>
      </c>
      <c r="AW2008" s="4">
        <v>42773</v>
      </c>
      <c r="BD2008">
        <v>0</v>
      </c>
      <c r="BN2008" t="s">
        <v>74</v>
      </c>
    </row>
    <row r="2009" spans="1:66">
      <c r="A2009">
        <v>104492</v>
      </c>
      <c r="B2009" t="s">
        <v>407</v>
      </c>
      <c r="C2009" s="1">
        <v>43300101</v>
      </c>
      <c r="D2009" t="s">
        <v>67</v>
      </c>
      <c r="H2009" t="str">
        <f t="shared" si="256"/>
        <v>05354730631</v>
      </c>
      <c r="I2009" t="str">
        <f t="shared" si="256"/>
        <v>05354730631</v>
      </c>
      <c r="K2009" t="str">
        <f>""</f>
        <v/>
      </c>
      <c r="M2009" t="s">
        <v>68</v>
      </c>
      <c r="N2009" t="str">
        <f t="shared" si="255"/>
        <v>FOR</v>
      </c>
      <c r="O2009" t="s">
        <v>69</v>
      </c>
      <c r="P2009" t="s">
        <v>75</v>
      </c>
      <c r="Q2009">
        <v>2016</v>
      </c>
      <c r="R2009" s="4">
        <v>42704</v>
      </c>
      <c r="S2009" s="2">
        <v>42711</v>
      </c>
      <c r="T2009" s="2">
        <v>42710</v>
      </c>
      <c r="U2009" s="4">
        <v>42770</v>
      </c>
      <c r="V2009" t="s">
        <v>71</v>
      </c>
      <c r="W2009" t="str">
        <f>"               F3570"</f>
        <v xml:space="preserve">               F3570</v>
      </c>
      <c r="X2009">
        <v>135.19999999999999</v>
      </c>
      <c r="Y2009">
        <v>0</v>
      </c>
      <c r="Z2009" s="5">
        <v>130</v>
      </c>
      <c r="AA2009" s="3">
        <v>3</v>
      </c>
      <c r="AB2009" s="3">
        <v>390</v>
      </c>
      <c r="AC2009">
        <v>130</v>
      </c>
      <c r="AD2009">
        <v>3</v>
      </c>
      <c r="AE2009">
        <v>390</v>
      </c>
      <c r="AF2009">
        <v>0</v>
      </c>
      <c r="AJ2009">
        <v>0</v>
      </c>
      <c r="AK2009">
        <v>0</v>
      </c>
      <c r="AL2009">
        <v>0</v>
      </c>
      <c r="AM2009">
        <v>0</v>
      </c>
      <c r="AN2009">
        <v>0</v>
      </c>
      <c r="AO2009">
        <v>0</v>
      </c>
      <c r="AP2009" s="2">
        <v>42831</v>
      </c>
      <c r="AQ2009" t="s">
        <v>72</v>
      </c>
      <c r="AR2009" t="s">
        <v>72</v>
      </c>
      <c r="AS2009">
        <v>308</v>
      </c>
      <c r="AT2009" s="4">
        <v>42773</v>
      </c>
      <c r="AU2009" t="s">
        <v>73</v>
      </c>
      <c r="AV2009">
        <v>308</v>
      </c>
      <c r="AW2009" s="4">
        <v>42773</v>
      </c>
      <c r="BD2009">
        <v>0</v>
      </c>
      <c r="BN2009" t="s">
        <v>74</v>
      </c>
    </row>
    <row r="2010" spans="1:66">
      <c r="A2010">
        <v>104492</v>
      </c>
      <c r="B2010" t="s">
        <v>407</v>
      </c>
      <c r="C2010" s="1">
        <v>43300101</v>
      </c>
      <c r="D2010" t="s">
        <v>67</v>
      </c>
      <c r="H2010" t="str">
        <f t="shared" si="256"/>
        <v>05354730631</v>
      </c>
      <c r="I2010" t="str">
        <f t="shared" si="256"/>
        <v>05354730631</v>
      </c>
      <c r="K2010" t="str">
        <f>""</f>
        <v/>
      </c>
      <c r="M2010" t="s">
        <v>68</v>
      </c>
      <c r="N2010" t="str">
        <f t="shared" si="255"/>
        <v>FOR</v>
      </c>
      <c r="O2010" t="s">
        <v>69</v>
      </c>
      <c r="P2010" t="s">
        <v>75</v>
      </c>
      <c r="Q2010">
        <v>2016</v>
      </c>
      <c r="R2010" s="4">
        <v>42704</v>
      </c>
      <c r="S2010" s="2">
        <v>42711</v>
      </c>
      <c r="T2010" s="2">
        <v>42710</v>
      </c>
      <c r="U2010" s="4">
        <v>42770</v>
      </c>
      <c r="V2010" t="s">
        <v>71</v>
      </c>
      <c r="W2010" t="str">
        <f>"               F3571"</f>
        <v xml:space="preserve">               F3571</v>
      </c>
      <c r="X2010">
        <v>135.19999999999999</v>
      </c>
      <c r="Y2010">
        <v>0</v>
      </c>
      <c r="Z2010" s="5">
        <v>130</v>
      </c>
      <c r="AA2010" s="3">
        <v>3</v>
      </c>
      <c r="AB2010" s="3">
        <v>390</v>
      </c>
      <c r="AC2010">
        <v>130</v>
      </c>
      <c r="AD2010">
        <v>3</v>
      </c>
      <c r="AE2010">
        <v>390</v>
      </c>
      <c r="AF2010">
        <v>0</v>
      </c>
      <c r="AJ2010">
        <v>0</v>
      </c>
      <c r="AK2010">
        <v>0</v>
      </c>
      <c r="AL2010">
        <v>0</v>
      </c>
      <c r="AM2010">
        <v>0</v>
      </c>
      <c r="AN2010">
        <v>0</v>
      </c>
      <c r="AO2010">
        <v>0</v>
      </c>
      <c r="AP2010" s="2">
        <v>42831</v>
      </c>
      <c r="AQ2010" t="s">
        <v>72</v>
      </c>
      <c r="AR2010" t="s">
        <v>72</v>
      </c>
      <c r="AS2010">
        <v>308</v>
      </c>
      <c r="AT2010" s="4">
        <v>42773</v>
      </c>
      <c r="AU2010" t="s">
        <v>73</v>
      </c>
      <c r="AV2010">
        <v>308</v>
      </c>
      <c r="AW2010" s="4">
        <v>42773</v>
      </c>
      <c r="BD2010">
        <v>0</v>
      </c>
      <c r="BN2010" t="s">
        <v>74</v>
      </c>
    </row>
    <row r="2011" spans="1:66">
      <c r="A2011">
        <v>104492</v>
      </c>
      <c r="B2011" t="s">
        <v>407</v>
      </c>
      <c r="C2011" s="1">
        <v>43300101</v>
      </c>
      <c r="D2011" t="s">
        <v>67</v>
      </c>
      <c r="H2011" t="str">
        <f t="shared" si="256"/>
        <v>05354730631</v>
      </c>
      <c r="I2011" t="str">
        <f t="shared" si="256"/>
        <v>05354730631</v>
      </c>
      <c r="K2011" t="str">
        <f>""</f>
        <v/>
      </c>
      <c r="M2011" t="s">
        <v>68</v>
      </c>
      <c r="N2011" t="str">
        <f t="shared" si="255"/>
        <v>FOR</v>
      </c>
      <c r="O2011" t="s">
        <v>69</v>
      </c>
      <c r="P2011" t="s">
        <v>75</v>
      </c>
      <c r="Q2011">
        <v>2016</v>
      </c>
      <c r="R2011" s="4">
        <v>42717</v>
      </c>
      <c r="S2011" s="2">
        <v>42725</v>
      </c>
      <c r="T2011" s="2">
        <v>42720</v>
      </c>
      <c r="U2011" s="4">
        <v>42780</v>
      </c>
      <c r="V2011" t="s">
        <v>71</v>
      </c>
      <c r="W2011" t="str">
        <f>"               F3626"</f>
        <v xml:space="preserve">               F3626</v>
      </c>
      <c r="X2011">
        <v>104</v>
      </c>
      <c r="Y2011">
        <v>0</v>
      </c>
      <c r="Z2011" s="5">
        <v>100</v>
      </c>
      <c r="AA2011" s="3">
        <v>-7</v>
      </c>
      <c r="AB2011" s="3">
        <v>-700</v>
      </c>
      <c r="AC2011">
        <v>100</v>
      </c>
      <c r="AD2011">
        <v>-7</v>
      </c>
      <c r="AE2011">
        <v>-700</v>
      </c>
      <c r="AF2011">
        <v>0</v>
      </c>
      <c r="AJ2011">
        <v>0</v>
      </c>
      <c r="AK2011">
        <v>0</v>
      </c>
      <c r="AL2011">
        <v>0</v>
      </c>
      <c r="AM2011">
        <v>0</v>
      </c>
      <c r="AN2011">
        <v>0</v>
      </c>
      <c r="AO2011">
        <v>0</v>
      </c>
      <c r="AP2011" s="2">
        <v>42831</v>
      </c>
      <c r="AQ2011" t="s">
        <v>72</v>
      </c>
      <c r="AR2011" t="s">
        <v>72</v>
      </c>
      <c r="AS2011">
        <v>308</v>
      </c>
      <c r="AT2011" s="4">
        <v>42773</v>
      </c>
      <c r="AV2011">
        <v>308</v>
      </c>
      <c r="AW2011" s="4">
        <v>42773</v>
      </c>
      <c r="BD2011">
        <v>0</v>
      </c>
      <c r="BN2011" t="s">
        <v>74</v>
      </c>
    </row>
    <row r="2012" spans="1:66">
      <c r="A2012">
        <v>104492</v>
      </c>
      <c r="B2012" t="s">
        <v>407</v>
      </c>
      <c r="C2012" s="1">
        <v>43300101</v>
      </c>
      <c r="D2012" t="s">
        <v>67</v>
      </c>
      <c r="H2012" t="str">
        <f t="shared" si="256"/>
        <v>05354730631</v>
      </c>
      <c r="I2012" t="str">
        <f t="shared" si="256"/>
        <v>05354730631</v>
      </c>
      <c r="K2012" t="str">
        <f>""</f>
        <v/>
      </c>
      <c r="M2012" t="s">
        <v>68</v>
      </c>
      <c r="N2012" t="str">
        <f t="shared" si="255"/>
        <v>FOR</v>
      </c>
      <c r="O2012" t="s">
        <v>69</v>
      </c>
      <c r="P2012" t="s">
        <v>75</v>
      </c>
      <c r="Q2012">
        <v>2016</v>
      </c>
      <c r="R2012" s="4">
        <v>42717</v>
      </c>
      <c r="S2012" s="2">
        <v>42725</v>
      </c>
      <c r="T2012" s="2">
        <v>42720</v>
      </c>
      <c r="U2012" s="4">
        <v>42780</v>
      </c>
      <c r="V2012" t="s">
        <v>71</v>
      </c>
      <c r="W2012" t="str">
        <f>"               F3627"</f>
        <v xml:space="preserve">               F3627</v>
      </c>
      <c r="X2012">
        <v>104</v>
      </c>
      <c r="Y2012">
        <v>0</v>
      </c>
      <c r="Z2012" s="5">
        <v>100</v>
      </c>
      <c r="AA2012" s="3">
        <v>-7</v>
      </c>
      <c r="AB2012" s="3">
        <v>-700</v>
      </c>
      <c r="AC2012">
        <v>100</v>
      </c>
      <c r="AD2012">
        <v>-7</v>
      </c>
      <c r="AE2012">
        <v>-700</v>
      </c>
      <c r="AF2012">
        <v>0</v>
      </c>
      <c r="AJ2012">
        <v>0</v>
      </c>
      <c r="AK2012">
        <v>0</v>
      </c>
      <c r="AL2012">
        <v>0</v>
      </c>
      <c r="AM2012">
        <v>0</v>
      </c>
      <c r="AN2012">
        <v>0</v>
      </c>
      <c r="AO2012">
        <v>0</v>
      </c>
      <c r="AP2012" s="2">
        <v>42831</v>
      </c>
      <c r="AQ2012" t="s">
        <v>72</v>
      </c>
      <c r="AR2012" t="s">
        <v>72</v>
      </c>
      <c r="AS2012">
        <v>308</v>
      </c>
      <c r="AT2012" s="4">
        <v>42773</v>
      </c>
      <c r="AV2012">
        <v>308</v>
      </c>
      <c r="AW2012" s="4">
        <v>42773</v>
      </c>
      <c r="BD2012">
        <v>0</v>
      </c>
      <c r="BN2012" t="s">
        <v>74</v>
      </c>
    </row>
    <row r="2013" spans="1:66">
      <c r="A2013">
        <v>104492</v>
      </c>
      <c r="B2013" t="s">
        <v>407</v>
      </c>
      <c r="C2013" s="1">
        <v>43300101</v>
      </c>
      <c r="D2013" t="s">
        <v>67</v>
      </c>
      <c r="H2013" t="str">
        <f t="shared" si="256"/>
        <v>05354730631</v>
      </c>
      <c r="I2013" t="str">
        <f t="shared" si="256"/>
        <v>05354730631</v>
      </c>
      <c r="K2013" t="str">
        <f>""</f>
        <v/>
      </c>
      <c r="M2013" t="s">
        <v>68</v>
      </c>
      <c r="N2013" t="str">
        <f t="shared" si="255"/>
        <v>FOR</v>
      </c>
      <c r="O2013" t="s">
        <v>69</v>
      </c>
      <c r="P2013" t="s">
        <v>75</v>
      </c>
      <c r="Q2013">
        <v>2016</v>
      </c>
      <c r="R2013" s="4">
        <v>42717</v>
      </c>
      <c r="S2013" s="2">
        <v>42725</v>
      </c>
      <c r="T2013" s="2">
        <v>42720</v>
      </c>
      <c r="U2013" s="4">
        <v>42780</v>
      </c>
      <c r="V2013" t="s">
        <v>71</v>
      </c>
      <c r="W2013" t="str">
        <f>"               F3628"</f>
        <v xml:space="preserve">               F3628</v>
      </c>
      <c r="X2013">
        <v>135.19999999999999</v>
      </c>
      <c r="Y2013">
        <v>0</v>
      </c>
      <c r="Z2013" s="5">
        <v>130</v>
      </c>
      <c r="AA2013" s="3">
        <v>-7</v>
      </c>
      <c r="AB2013" s="3">
        <v>-910</v>
      </c>
      <c r="AC2013">
        <v>130</v>
      </c>
      <c r="AD2013">
        <v>-7</v>
      </c>
      <c r="AE2013">
        <v>-910</v>
      </c>
      <c r="AF2013">
        <v>0</v>
      </c>
      <c r="AJ2013">
        <v>0</v>
      </c>
      <c r="AK2013">
        <v>0</v>
      </c>
      <c r="AL2013">
        <v>0</v>
      </c>
      <c r="AM2013">
        <v>0</v>
      </c>
      <c r="AN2013">
        <v>0</v>
      </c>
      <c r="AO2013">
        <v>0</v>
      </c>
      <c r="AP2013" s="2">
        <v>42831</v>
      </c>
      <c r="AQ2013" t="s">
        <v>72</v>
      </c>
      <c r="AR2013" t="s">
        <v>72</v>
      </c>
      <c r="AS2013">
        <v>308</v>
      </c>
      <c r="AT2013" s="4">
        <v>42773</v>
      </c>
      <c r="AV2013">
        <v>308</v>
      </c>
      <c r="AW2013" s="4">
        <v>42773</v>
      </c>
      <c r="BD2013">
        <v>0</v>
      </c>
      <c r="BN2013" t="s">
        <v>74</v>
      </c>
    </row>
    <row r="2014" spans="1:66">
      <c r="A2014">
        <v>104492</v>
      </c>
      <c r="B2014" t="s">
        <v>407</v>
      </c>
      <c r="C2014" s="1">
        <v>43300101</v>
      </c>
      <c r="D2014" t="s">
        <v>67</v>
      </c>
      <c r="H2014" t="str">
        <f t="shared" si="256"/>
        <v>05354730631</v>
      </c>
      <c r="I2014" t="str">
        <f t="shared" si="256"/>
        <v>05354730631</v>
      </c>
      <c r="K2014" t="str">
        <f>""</f>
        <v/>
      </c>
      <c r="M2014" t="s">
        <v>68</v>
      </c>
      <c r="N2014" t="str">
        <f t="shared" ref="N2014:N2045" si="257">"FOR"</f>
        <v>FOR</v>
      </c>
      <c r="O2014" t="s">
        <v>69</v>
      </c>
      <c r="P2014" t="s">
        <v>75</v>
      </c>
      <c r="Q2014">
        <v>2016</v>
      </c>
      <c r="R2014" s="4">
        <v>42717</v>
      </c>
      <c r="S2014" s="2">
        <v>42725</v>
      </c>
      <c r="T2014" s="2">
        <v>42720</v>
      </c>
      <c r="U2014" s="4">
        <v>42780</v>
      </c>
      <c r="V2014" t="s">
        <v>71</v>
      </c>
      <c r="W2014" t="str">
        <f>"               F3629"</f>
        <v xml:space="preserve">               F3629</v>
      </c>
      <c r="X2014">
        <v>135.19999999999999</v>
      </c>
      <c r="Y2014">
        <v>0</v>
      </c>
      <c r="Z2014" s="5">
        <v>130</v>
      </c>
      <c r="AA2014" s="3">
        <v>-7</v>
      </c>
      <c r="AB2014" s="3">
        <v>-910</v>
      </c>
      <c r="AC2014">
        <v>130</v>
      </c>
      <c r="AD2014">
        <v>-7</v>
      </c>
      <c r="AE2014">
        <v>-910</v>
      </c>
      <c r="AF2014">
        <v>0</v>
      </c>
      <c r="AJ2014">
        <v>0</v>
      </c>
      <c r="AK2014">
        <v>0</v>
      </c>
      <c r="AL2014">
        <v>0</v>
      </c>
      <c r="AM2014">
        <v>0</v>
      </c>
      <c r="AN2014">
        <v>0</v>
      </c>
      <c r="AO2014">
        <v>0</v>
      </c>
      <c r="AP2014" s="2">
        <v>42831</v>
      </c>
      <c r="AQ2014" t="s">
        <v>72</v>
      </c>
      <c r="AR2014" t="s">
        <v>72</v>
      </c>
      <c r="AS2014">
        <v>308</v>
      </c>
      <c r="AT2014" s="4">
        <v>42773</v>
      </c>
      <c r="AV2014">
        <v>308</v>
      </c>
      <c r="AW2014" s="4">
        <v>42773</v>
      </c>
      <c r="BD2014">
        <v>0</v>
      </c>
      <c r="BN2014" t="s">
        <v>74</v>
      </c>
    </row>
    <row r="2015" spans="1:66">
      <c r="A2015">
        <v>104492</v>
      </c>
      <c r="B2015" t="s">
        <v>407</v>
      </c>
      <c r="C2015" s="1">
        <v>43300101</v>
      </c>
      <c r="D2015" t="s">
        <v>67</v>
      </c>
      <c r="H2015" t="str">
        <f t="shared" si="256"/>
        <v>05354730631</v>
      </c>
      <c r="I2015" t="str">
        <f t="shared" si="256"/>
        <v>05354730631</v>
      </c>
      <c r="K2015" t="str">
        <f>""</f>
        <v/>
      </c>
      <c r="M2015" t="s">
        <v>68</v>
      </c>
      <c r="N2015" t="str">
        <f t="shared" si="257"/>
        <v>FOR</v>
      </c>
      <c r="O2015" t="s">
        <v>69</v>
      </c>
      <c r="P2015" t="s">
        <v>75</v>
      </c>
      <c r="Q2015">
        <v>2016</v>
      </c>
      <c r="R2015" s="4">
        <v>42717</v>
      </c>
      <c r="S2015" s="2">
        <v>42725</v>
      </c>
      <c r="T2015" s="2">
        <v>42720</v>
      </c>
      <c r="U2015" s="4">
        <v>42780</v>
      </c>
      <c r="V2015" t="s">
        <v>71</v>
      </c>
      <c r="W2015" t="str">
        <f>"               F3630"</f>
        <v xml:space="preserve">               F3630</v>
      </c>
      <c r="X2015">
        <v>104</v>
      </c>
      <c r="Y2015">
        <v>0</v>
      </c>
      <c r="Z2015" s="5">
        <v>100</v>
      </c>
      <c r="AA2015" s="3">
        <v>-7</v>
      </c>
      <c r="AB2015" s="3">
        <v>-700</v>
      </c>
      <c r="AC2015">
        <v>100</v>
      </c>
      <c r="AD2015">
        <v>-7</v>
      </c>
      <c r="AE2015">
        <v>-700</v>
      </c>
      <c r="AF2015">
        <v>0</v>
      </c>
      <c r="AJ2015">
        <v>0</v>
      </c>
      <c r="AK2015">
        <v>0</v>
      </c>
      <c r="AL2015">
        <v>0</v>
      </c>
      <c r="AM2015">
        <v>0</v>
      </c>
      <c r="AN2015">
        <v>0</v>
      </c>
      <c r="AO2015">
        <v>0</v>
      </c>
      <c r="AP2015" s="2">
        <v>42831</v>
      </c>
      <c r="AQ2015" t="s">
        <v>72</v>
      </c>
      <c r="AR2015" t="s">
        <v>72</v>
      </c>
      <c r="AS2015">
        <v>308</v>
      </c>
      <c r="AT2015" s="4">
        <v>42773</v>
      </c>
      <c r="AV2015">
        <v>308</v>
      </c>
      <c r="AW2015" s="4">
        <v>42773</v>
      </c>
      <c r="BD2015">
        <v>0</v>
      </c>
      <c r="BN2015" t="s">
        <v>74</v>
      </c>
    </row>
    <row r="2016" spans="1:66">
      <c r="A2016">
        <v>104492</v>
      </c>
      <c r="B2016" t="s">
        <v>407</v>
      </c>
      <c r="C2016" s="1">
        <v>43300101</v>
      </c>
      <c r="D2016" t="s">
        <v>67</v>
      </c>
      <c r="H2016" t="str">
        <f t="shared" si="256"/>
        <v>05354730631</v>
      </c>
      <c r="I2016" t="str">
        <f t="shared" si="256"/>
        <v>05354730631</v>
      </c>
      <c r="K2016" t="str">
        <f>""</f>
        <v/>
      </c>
      <c r="M2016" t="s">
        <v>68</v>
      </c>
      <c r="N2016" t="str">
        <f t="shared" si="257"/>
        <v>FOR</v>
      </c>
      <c r="O2016" t="s">
        <v>69</v>
      </c>
      <c r="P2016" t="s">
        <v>75</v>
      </c>
      <c r="Q2016">
        <v>2016</v>
      </c>
      <c r="R2016" s="4">
        <v>42717</v>
      </c>
      <c r="S2016" s="2">
        <v>42725</v>
      </c>
      <c r="T2016" s="2">
        <v>42720</v>
      </c>
      <c r="U2016" s="4">
        <v>42780</v>
      </c>
      <c r="V2016" t="s">
        <v>71</v>
      </c>
      <c r="W2016" t="str">
        <f>"               F3631"</f>
        <v xml:space="preserve">               F3631</v>
      </c>
      <c r="X2016">
        <v>135.19999999999999</v>
      </c>
      <c r="Y2016">
        <v>0</v>
      </c>
      <c r="Z2016" s="5">
        <v>130</v>
      </c>
      <c r="AA2016" s="3">
        <v>-7</v>
      </c>
      <c r="AB2016" s="3">
        <v>-910</v>
      </c>
      <c r="AC2016">
        <v>130</v>
      </c>
      <c r="AD2016">
        <v>-7</v>
      </c>
      <c r="AE2016">
        <v>-910</v>
      </c>
      <c r="AF2016">
        <v>0</v>
      </c>
      <c r="AJ2016">
        <v>0</v>
      </c>
      <c r="AK2016">
        <v>0</v>
      </c>
      <c r="AL2016">
        <v>0</v>
      </c>
      <c r="AM2016">
        <v>0</v>
      </c>
      <c r="AN2016">
        <v>0</v>
      </c>
      <c r="AO2016">
        <v>0</v>
      </c>
      <c r="AP2016" s="2">
        <v>42831</v>
      </c>
      <c r="AQ2016" t="s">
        <v>72</v>
      </c>
      <c r="AR2016" t="s">
        <v>72</v>
      </c>
      <c r="AS2016">
        <v>308</v>
      </c>
      <c r="AT2016" s="4">
        <v>42773</v>
      </c>
      <c r="AV2016">
        <v>308</v>
      </c>
      <c r="AW2016" s="4">
        <v>42773</v>
      </c>
      <c r="BD2016">
        <v>0</v>
      </c>
      <c r="BN2016" t="s">
        <v>74</v>
      </c>
    </row>
    <row r="2017" spans="1:66">
      <c r="A2017">
        <v>104492</v>
      </c>
      <c r="B2017" t="s">
        <v>407</v>
      </c>
      <c r="C2017" s="1">
        <v>43300101</v>
      </c>
      <c r="D2017" t="s">
        <v>67</v>
      </c>
      <c r="H2017" t="str">
        <f t="shared" si="256"/>
        <v>05354730631</v>
      </c>
      <c r="I2017" t="str">
        <f t="shared" si="256"/>
        <v>05354730631</v>
      </c>
      <c r="K2017" t="str">
        <f>""</f>
        <v/>
      </c>
      <c r="M2017" t="s">
        <v>68</v>
      </c>
      <c r="N2017" t="str">
        <f t="shared" si="257"/>
        <v>FOR</v>
      </c>
      <c r="O2017" t="s">
        <v>69</v>
      </c>
      <c r="P2017" t="s">
        <v>75</v>
      </c>
      <c r="Q2017">
        <v>2016</v>
      </c>
      <c r="R2017" s="4">
        <v>42731</v>
      </c>
      <c r="S2017" s="2">
        <v>42733</v>
      </c>
      <c r="T2017" s="2">
        <v>42731</v>
      </c>
      <c r="U2017" s="4">
        <v>42791</v>
      </c>
      <c r="V2017" t="s">
        <v>71</v>
      </c>
      <c r="W2017" t="str">
        <f>"               F3753"</f>
        <v xml:space="preserve">               F3753</v>
      </c>
      <c r="X2017" s="1">
        <v>1884.9</v>
      </c>
      <c r="Y2017">
        <v>0</v>
      </c>
      <c r="Z2017" s="5">
        <v>1545</v>
      </c>
      <c r="AA2017" s="3">
        <v>2</v>
      </c>
      <c r="AB2017" s="5">
        <v>3090</v>
      </c>
      <c r="AC2017" s="1">
        <v>1545</v>
      </c>
      <c r="AD2017">
        <v>2</v>
      </c>
      <c r="AE2017" s="1">
        <v>3090</v>
      </c>
      <c r="AF2017">
        <v>0</v>
      </c>
      <c r="AJ2017">
        <v>0</v>
      </c>
      <c r="AK2017">
        <v>0</v>
      </c>
      <c r="AL2017">
        <v>0</v>
      </c>
      <c r="AM2017">
        <v>0</v>
      </c>
      <c r="AN2017">
        <v>0</v>
      </c>
      <c r="AO2017">
        <v>0</v>
      </c>
      <c r="AP2017" s="2">
        <v>42831</v>
      </c>
      <c r="AQ2017" t="s">
        <v>72</v>
      </c>
      <c r="AR2017" t="s">
        <v>72</v>
      </c>
      <c r="AS2017">
        <v>611</v>
      </c>
      <c r="AT2017" s="4">
        <v>42793</v>
      </c>
      <c r="AU2017" t="s">
        <v>73</v>
      </c>
      <c r="AV2017">
        <v>611</v>
      </c>
      <c r="AW2017" s="4">
        <v>42793</v>
      </c>
      <c r="BD2017">
        <v>0</v>
      </c>
      <c r="BN2017" t="s">
        <v>74</v>
      </c>
    </row>
    <row r="2018" spans="1:66">
      <c r="A2018">
        <v>104498</v>
      </c>
      <c r="B2018" t="s">
        <v>408</v>
      </c>
      <c r="C2018" s="1">
        <v>43300101</v>
      </c>
      <c r="D2018" t="s">
        <v>67</v>
      </c>
      <c r="H2018" t="str">
        <f>"07305510633"</f>
        <v>07305510633</v>
      </c>
      <c r="I2018" t="str">
        <f>"07305510633"</f>
        <v>07305510633</v>
      </c>
      <c r="K2018" t="str">
        <f>""</f>
        <v/>
      </c>
      <c r="M2018" t="s">
        <v>68</v>
      </c>
      <c r="N2018" t="str">
        <f t="shared" si="257"/>
        <v>FOR</v>
      </c>
      <c r="O2018" t="s">
        <v>69</v>
      </c>
      <c r="P2018" t="s">
        <v>75</v>
      </c>
      <c r="Q2018">
        <v>2016</v>
      </c>
      <c r="R2018" s="4">
        <v>42593</v>
      </c>
      <c r="S2018" s="2">
        <v>42593</v>
      </c>
      <c r="T2018" s="2">
        <v>42593</v>
      </c>
      <c r="U2018" s="4">
        <v>42653</v>
      </c>
      <c r="V2018" t="s">
        <v>71</v>
      </c>
      <c r="W2018" t="str">
        <f>"        FATTPA 54_16"</f>
        <v xml:space="preserve">        FATTPA 54_16</v>
      </c>
      <c r="X2018" s="1">
        <v>5625.98</v>
      </c>
      <c r="Y2018">
        <v>0</v>
      </c>
      <c r="Z2018" s="5">
        <v>5409.6</v>
      </c>
      <c r="AA2018" s="3">
        <v>142</v>
      </c>
      <c r="AB2018" s="5">
        <v>768163.2</v>
      </c>
      <c r="AC2018" s="1">
        <v>5409.6</v>
      </c>
      <c r="AD2018">
        <v>142</v>
      </c>
      <c r="AE2018" s="1">
        <v>768163.2</v>
      </c>
      <c r="AF2018">
        <v>216.38</v>
      </c>
      <c r="AJ2018">
        <v>0</v>
      </c>
      <c r="AK2018">
        <v>0</v>
      </c>
      <c r="AL2018">
        <v>0</v>
      </c>
      <c r="AM2018">
        <v>0</v>
      </c>
      <c r="AN2018">
        <v>0</v>
      </c>
      <c r="AO2018">
        <v>0</v>
      </c>
      <c r="AP2018" s="2">
        <v>42831</v>
      </c>
      <c r="AQ2018" t="s">
        <v>72</v>
      </c>
      <c r="AR2018" t="s">
        <v>72</v>
      </c>
      <c r="AS2018">
        <v>649</v>
      </c>
      <c r="AT2018" s="4">
        <v>42795</v>
      </c>
      <c r="AU2018" t="s">
        <v>73</v>
      </c>
      <c r="AV2018">
        <v>649</v>
      </c>
      <c r="AW2018" s="4">
        <v>42795</v>
      </c>
      <c r="BC2018">
        <v>216.38</v>
      </c>
      <c r="BD2018">
        <v>0</v>
      </c>
      <c r="BN2018" t="s">
        <v>74</v>
      </c>
    </row>
    <row r="2019" spans="1:66">
      <c r="A2019">
        <v>104498</v>
      </c>
      <c r="B2019" t="s">
        <v>408</v>
      </c>
      <c r="C2019" s="1">
        <v>43300101</v>
      </c>
      <c r="D2019" t="s">
        <v>67</v>
      </c>
      <c r="H2019" t="str">
        <f>"07305510633"</f>
        <v>07305510633</v>
      </c>
      <c r="I2019" t="str">
        <f>"07305510633"</f>
        <v>07305510633</v>
      </c>
      <c r="K2019" t="str">
        <f>""</f>
        <v/>
      </c>
      <c r="M2019" t="s">
        <v>68</v>
      </c>
      <c r="N2019" t="str">
        <f t="shared" si="257"/>
        <v>FOR</v>
      </c>
      <c r="O2019" t="s">
        <v>69</v>
      </c>
      <c r="P2019" t="s">
        <v>75</v>
      </c>
      <c r="Q2019">
        <v>2016</v>
      </c>
      <c r="R2019" s="4">
        <v>42613</v>
      </c>
      <c r="S2019" s="2">
        <v>42620</v>
      </c>
      <c r="T2019" s="2">
        <v>42613</v>
      </c>
      <c r="U2019" s="4">
        <v>42673</v>
      </c>
      <c r="V2019" t="s">
        <v>71</v>
      </c>
      <c r="W2019" t="str">
        <f>"        FATTPA 58_16"</f>
        <v xml:space="preserve">        FATTPA 58_16</v>
      </c>
      <c r="X2019" s="1">
        <v>16877.95</v>
      </c>
      <c r="Y2019">
        <v>0</v>
      </c>
      <c r="Z2019" s="5">
        <v>16228.8</v>
      </c>
      <c r="AA2019" s="3">
        <v>122</v>
      </c>
      <c r="AB2019" s="5">
        <v>1979913.6</v>
      </c>
      <c r="AC2019" s="1">
        <v>16228.8</v>
      </c>
      <c r="AD2019">
        <v>122</v>
      </c>
      <c r="AE2019" s="1">
        <v>1979913.6</v>
      </c>
      <c r="AF2019">
        <v>649.15</v>
      </c>
      <c r="AJ2019">
        <v>0</v>
      </c>
      <c r="AK2019">
        <v>0</v>
      </c>
      <c r="AL2019">
        <v>0</v>
      </c>
      <c r="AM2019">
        <v>0</v>
      </c>
      <c r="AN2019">
        <v>0</v>
      </c>
      <c r="AO2019">
        <v>0</v>
      </c>
      <c r="AP2019" s="2">
        <v>42831</v>
      </c>
      <c r="AQ2019" t="s">
        <v>72</v>
      </c>
      <c r="AR2019" t="s">
        <v>72</v>
      </c>
      <c r="AS2019">
        <v>649</v>
      </c>
      <c r="AT2019" s="4">
        <v>42795</v>
      </c>
      <c r="AU2019" t="s">
        <v>73</v>
      </c>
      <c r="AV2019">
        <v>649</v>
      </c>
      <c r="AW2019" s="4">
        <v>42795</v>
      </c>
      <c r="BC2019">
        <v>649.15</v>
      </c>
      <c r="BD2019">
        <v>0</v>
      </c>
      <c r="BN2019" t="s">
        <v>74</v>
      </c>
    </row>
    <row r="2020" spans="1:66">
      <c r="A2020">
        <v>104527</v>
      </c>
      <c r="B2020" t="s">
        <v>409</v>
      </c>
      <c r="C2020" s="1">
        <v>43300101</v>
      </c>
      <c r="D2020" t="s">
        <v>67</v>
      </c>
      <c r="H2020" t="str">
        <f>"04465331215"</f>
        <v>04465331215</v>
      </c>
      <c r="I2020" t="str">
        <f>"04465331215"</f>
        <v>04465331215</v>
      </c>
      <c r="K2020" t="str">
        <f>""</f>
        <v/>
      </c>
      <c r="M2020" t="s">
        <v>68</v>
      </c>
      <c r="N2020" t="str">
        <f t="shared" si="257"/>
        <v>FOR</v>
      </c>
      <c r="O2020" t="s">
        <v>69</v>
      </c>
      <c r="P2020" t="s">
        <v>75</v>
      </c>
      <c r="Q2020">
        <v>2016</v>
      </c>
      <c r="R2020" s="4">
        <v>42503</v>
      </c>
      <c r="S2020" s="2">
        <v>42508</v>
      </c>
      <c r="T2020" s="2">
        <v>42507</v>
      </c>
      <c r="U2020" s="4">
        <v>42567</v>
      </c>
      <c r="V2020" t="s">
        <v>71</v>
      </c>
      <c r="W2020" t="str">
        <f>"            47E-2016"</f>
        <v xml:space="preserve">            47E-2016</v>
      </c>
      <c r="X2020" s="1">
        <v>2072.11</v>
      </c>
      <c r="Y2020">
        <v>0</v>
      </c>
      <c r="Z2020" s="5">
        <v>1698.45</v>
      </c>
      <c r="AA2020" s="3">
        <v>226</v>
      </c>
      <c r="AB2020" s="5">
        <v>383849.7</v>
      </c>
      <c r="AC2020" s="1">
        <v>1698.45</v>
      </c>
      <c r="AD2020">
        <v>226</v>
      </c>
      <c r="AE2020" s="1">
        <v>383849.7</v>
      </c>
      <c r="AF2020">
        <v>0</v>
      </c>
      <c r="AJ2020">
        <v>0</v>
      </c>
      <c r="AK2020">
        <v>0</v>
      </c>
      <c r="AL2020">
        <v>0</v>
      </c>
      <c r="AM2020">
        <v>0</v>
      </c>
      <c r="AN2020">
        <v>0</v>
      </c>
      <c r="AO2020">
        <v>0</v>
      </c>
      <c r="AP2020" s="2">
        <v>42831</v>
      </c>
      <c r="AQ2020" t="s">
        <v>72</v>
      </c>
      <c r="AR2020" t="s">
        <v>72</v>
      </c>
      <c r="AS2020">
        <v>608</v>
      </c>
      <c r="AT2020" s="4">
        <v>42793</v>
      </c>
      <c r="AU2020" t="s">
        <v>73</v>
      </c>
      <c r="AV2020">
        <v>608</v>
      </c>
      <c r="AW2020" s="4">
        <v>42793</v>
      </c>
      <c r="BD2020">
        <v>0</v>
      </c>
      <c r="BN2020" t="s">
        <v>74</v>
      </c>
    </row>
    <row r="2021" spans="1:66">
      <c r="A2021">
        <v>104545</v>
      </c>
      <c r="B2021" t="s">
        <v>410</v>
      </c>
      <c r="C2021" s="1">
        <v>43300101</v>
      </c>
      <c r="D2021" t="s">
        <v>67</v>
      </c>
      <c r="H2021" t="str">
        <f>"02615000367"</f>
        <v>02615000367</v>
      </c>
      <c r="I2021" t="str">
        <f>"02615000367"</f>
        <v>02615000367</v>
      </c>
      <c r="K2021" t="str">
        <f>""</f>
        <v/>
      </c>
      <c r="M2021" t="s">
        <v>68</v>
      </c>
      <c r="N2021" t="str">
        <f t="shared" si="257"/>
        <v>FOR</v>
      </c>
      <c r="O2021" t="s">
        <v>69</v>
      </c>
      <c r="P2021" t="s">
        <v>75</v>
      </c>
      <c r="Q2021">
        <v>2016</v>
      </c>
      <c r="R2021" s="4">
        <v>42460</v>
      </c>
      <c r="S2021" s="2">
        <v>42478</v>
      </c>
      <c r="T2021" s="2">
        <v>42474</v>
      </c>
      <c r="U2021" s="4">
        <v>42534</v>
      </c>
      <c r="V2021" t="s">
        <v>71</v>
      </c>
      <c r="W2021" t="str">
        <f>"               E-579"</f>
        <v xml:space="preserve">               E-579</v>
      </c>
      <c r="X2021">
        <v>431.88</v>
      </c>
      <c r="Y2021">
        <v>0</v>
      </c>
      <c r="Z2021" s="5">
        <v>354</v>
      </c>
      <c r="AA2021" s="3">
        <v>234</v>
      </c>
      <c r="AB2021" s="5">
        <v>82836</v>
      </c>
      <c r="AC2021">
        <v>354</v>
      </c>
      <c r="AD2021">
        <v>234</v>
      </c>
      <c r="AE2021" s="1">
        <v>82836</v>
      </c>
      <c r="AF2021">
        <v>0</v>
      </c>
      <c r="AJ2021">
        <v>0</v>
      </c>
      <c r="AK2021">
        <v>0</v>
      </c>
      <c r="AL2021">
        <v>0</v>
      </c>
      <c r="AM2021">
        <v>0</v>
      </c>
      <c r="AN2021">
        <v>0</v>
      </c>
      <c r="AO2021">
        <v>0</v>
      </c>
      <c r="AP2021" s="2">
        <v>42831</v>
      </c>
      <c r="AQ2021" t="s">
        <v>72</v>
      </c>
      <c r="AR2021" t="s">
        <v>72</v>
      </c>
      <c r="AS2021">
        <v>221</v>
      </c>
      <c r="AT2021" s="4">
        <v>42768</v>
      </c>
      <c r="AU2021" t="s">
        <v>73</v>
      </c>
      <c r="AV2021">
        <v>221</v>
      </c>
      <c r="AW2021" s="4">
        <v>42768</v>
      </c>
      <c r="BD2021">
        <v>0</v>
      </c>
      <c r="BN2021" t="s">
        <v>74</v>
      </c>
    </row>
    <row r="2022" spans="1:66">
      <c r="A2022">
        <v>104545</v>
      </c>
      <c r="B2022" t="s">
        <v>410</v>
      </c>
      <c r="C2022" s="1">
        <v>43300101</v>
      </c>
      <c r="D2022" t="s">
        <v>67</v>
      </c>
      <c r="H2022" t="str">
        <f>"02615000367"</f>
        <v>02615000367</v>
      </c>
      <c r="I2022" t="str">
        <f>"02615000367"</f>
        <v>02615000367</v>
      </c>
      <c r="K2022" t="str">
        <f>""</f>
        <v/>
      </c>
      <c r="M2022" t="s">
        <v>68</v>
      </c>
      <c r="N2022" t="str">
        <f t="shared" si="257"/>
        <v>FOR</v>
      </c>
      <c r="O2022" t="s">
        <v>69</v>
      </c>
      <c r="P2022" t="s">
        <v>75</v>
      </c>
      <c r="Q2022">
        <v>2016</v>
      </c>
      <c r="R2022" s="4">
        <v>42704</v>
      </c>
      <c r="S2022" s="2">
        <v>42711</v>
      </c>
      <c r="T2022" s="2">
        <v>42706</v>
      </c>
      <c r="U2022" s="4">
        <v>42766</v>
      </c>
      <c r="V2022" t="s">
        <v>71</v>
      </c>
      <c r="W2022" t="str">
        <f>"              E-2461"</f>
        <v xml:space="preserve">              E-2461</v>
      </c>
      <c r="X2022">
        <v>431.88</v>
      </c>
      <c r="Y2022">
        <v>0</v>
      </c>
      <c r="Z2022" s="5">
        <v>354</v>
      </c>
      <c r="AA2022" s="3">
        <v>2</v>
      </c>
      <c r="AB2022" s="3">
        <v>708</v>
      </c>
      <c r="AC2022">
        <v>354</v>
      </c>
      <c r="AD2022">
        <v>2</v>
      </c>
      <c r="AE2022">
        <v>708</v>
      </c>
      <c r="AF2022">
        <v>0</v>
      </c>
      <c r="AJ2022">
        <v>0</v>
      </c>
      <c r="AK2022">
        <v>0</v>
      </c>
      <c r="AL2022">
        <v>0</v>
      </c>
      <c r="AM2022">
        <v>0</v>
      </c>
      <c r="AN2022">
        <v>0</v>
      </c>
      <c r="AO2022">
        <v>0</v>
      </c>
      <c r="AP2022" s="2">
        <v>42831</v>
      </c>
      <c r="AQ2022" t="s">
        <v>72</v>
      </c>
      <c r="AR2022" t="s">
        <v>72</v>
      </c>
      <c r="AS2022">
        <v>221</v>
      </c>
      <c r="AT2022" s="4">
        <v>42768</v>
      </c>
      <c r="AU2022" t="s">
        <v>73</v>
      </c>
      <c r="AV2022">
        <v>221</v>
      </c>
      <c r="AW2022" s="4">
        <v>42768</v>
      </c>
      <c r="BD2022">
        <v>0</v>
      </c>
      <c r="BN2022" t="s">
        <v>74</v>
      </c>
    </row>
    <row r="2023" spans="1:66">
      <c r="A2023">
        <v>104560</v>
      </c>
      <c r="B2023" t="s">
        <v>411</v>
      </c>
      <c r="C2023" s="1">
        <v>43300101</v>
      </c>
      <c r="D2023" t="s">
        <v>67</v>
      </c>
      <c r="H2023" t="str">
        <f t="shared" ref="H2023:I2030" si="258">"02504501210"</f>
        <v>02504501210</v>
      </c>
      <c r="I2023" t="str">
        <f t="shared" si="258"/>
        <v>02504501210</v>
      </c>
      <c r="K2023" t="str">
        <f>""</f>
        <v/>
      </c>
      <c r="M2023" t="s">
        <v>68</v>
      </c>
      <c r="N2023" t="str">
        <f t="shared" si="257"/>
        <v>FOR</v>
      </c>
      <c r="O2023" t="s">
        <v>69</v>
      </c>
      <c r="P2023" t="s">
        <v>75</v>
      </c>
      <c r="Q2023">
        <v>2016</v>
      </c>
      <c r="R2023" s="4">
        <v>42643</v>
      </c>
      <c r="S2023" s="2">
        <v>42646</v>
      </c>
      <c r="T2023" s="2">
        <v>42646</v>
      </c>
      <c r="U2023" s="4">
        <v>42706</v>
      </c>
      <c r="V2023" t="s">
        <v>71</v>
      </c>
      <c r="W2023" t="str">
        <f>"                 118"</f>
        <v xml:space="preserve">                 118</v>
      </c>
      <c r="X2023" s="1">
        <v>1831.22</v>
      </c>
      <c r="Y2023">
        <v>0</v>
      </c>
      <c r="Z2023" s="5">
        <v>1501</v>
      </c>
      <c r="AA2023" s="3">
        <v>68</v>
      </c>
      <c r="AB2023" s="5">
        <v>102068</v>
      </c>
      <c r="AC2023" s="1">
        <v>1501</v>
      </c>
      <c r="AD2023">
        <v>68</v>
      </c>
      <c r="AE2023" s="1">
        <v>102068</v>
      </c>
      <c r="AF2023">
        <v>0</v>
      </c>
      <c r="AJ2023">
        <v>0</v>
      </c>
      <c r="AK2023">
        <v>0</v>
      </c>
      <c r="AL2023">
        <v>0</v>
      </c>
      <c r="AM2023">
        <v>0</v>
      </c>
      <c r="AN2023">
        <v>0</v>
      </c>
      <c r="AO2023">
        <v>0</v>
      </c>
      <c r="AP2023" s="2">
        <v>42831</v>
      </c>
      <c r="AQ2023" t="s">
        <v>72</v>
      </c>
      <c r="AR2023" t="s">
        <v>72</v>
      </c>
      <c r="AS2023">
        <v>361</v>
      </c>
      <c r="AT2023" s="4">
        <v>42774</v>
      </c>
      <c r="AU2023" t="s">
        <v>73</v>
      </c>
      <c r="AV2023">
        <v>361</v>
      </c>
      <c r="AW2023" s="4">
        <v>42774</v>
      </c>
      <c r="BD2023">
        <v>0</v>
      </c>
      <c r="BN2023" t="s">
        <v>74</v>
      </c>
    </row>
    <row r="2024" spans="1:66">
      <c r="A2024">
        <v>104560</v>
      </c>
      <c r="B2024" t="s">
        <v>411</v>
      </c>
      <c r="C2024" s="1">
        <v>43300101</v>
      </c>
      <c r="D2024" t="s">
        <v>67</v>
      </c>
      <c r="H2024" t="str">
        <f t="shared" si="258"/>
        <v>02504501210</v>
      </c>
      <c r="I2024" t="str">
        <f t="shared" si="258"/>
        <v>02504501210</v>
      </c>
      <c r="K2024" t="str">
        <f>""</f>
        <v/>
      </c>
      <c r="M2024" t="s">
        <v>68</v>
      </c>
      <c r="N2024" t="str">
        <f t="shared" si="257"/>
        <v>FOR</v>
      </c>
      <c r="O2024" t="s">
        <v>69</v>
      </c>
      <c r="P2024" t="s">
        <v>75</v>
      </c>
      <c r="Q2024">
        <v>2016</v>
      </c>
      <c r="R2024" s="4">
        <v>42643</v>
      </c>
      <c r="S2024" s="2">
        <v>42646</v>
      </c>
      <c r="T2024" s="2">
        <v>42646</v>
      </c>
      <c r="U2024" s="4">
        <v>42706</v>
      </c>
      <c r="V2024" t="s">
        <v>71</v>
      </c>
      <c r="W2024" t="str">
        <f>"                 119"</f>
        <v xml:space="preserve">                 119</v>
      </c>
      <c r="X2024">
        <v>472.14</v>
      </c>
      <c r="Y2024">
        <v>0</v>
      </c>
      <c r="Z2024" s="5">
        <v>387</v>
      </c>
      <c r="AA2024" s="3">
        <v>68</v>
      </c>
      <c r="AB2024" s="5">
        <v>26316</v>
      </c>
      <c r="AC2024">
        <v>387</v>
      </c>
      <c r="AD2024">
        <v>68</v>
      </c>
      <c r="AE2024" s="1">
        <v>26316</v>
      </c>
      <c r="AF2024">
        <v>0</v>
      </c>
      <c r="AJ2024">
        <v>0</v>
      </c>
      <c r="AK2024">
        <v>0</v>
      </c>
      <c r="AL2024">
        <v>0</v>
      </c>
      <c r="AM2024">
        <v>0</v>
      </c>
      <c r="AN2024">
        <v>0</v>
      </c>
      <c r="AO2024">
        <v>0</v>
      </c>
      <c r="AP2024" s="2">
        <v>42831</v>
      </c>
      <c r="AQ2024" t="s">
        <v>72</v>
      </c>
      <c r="AR2024" t="s">
        <v>72</v>
      </c>
      <c r="AS2024">
        <v>361</v>
      </c>
      <c r="AT2024" s="4">
        <v>42774</v>
      </c>
      <c r="AU2024" t="s">
        <v>73</v>
      </c>
      <c r="AV2024">
        <v>361</v>
      </c>
      <c r="AW2024" s="4">
        <v>42774</v>
      </c>
      <c r="BD2024">
        <v>0</v>
      </c>
      <c r="BN2024" t="s">
        <v>74</v>
      </c>
    </row>
    <row r="2025" spans="1:66">
      <c r="A2025">
        <v>104560</v>
      </c>
      <c r="B2025" t="s">
        <v>411</v>
      </c>
      <c r="C2025" s="1">
        <v>43300101</v>
      </c>
      <c r="D2025" t="s">
        <v>67</v>
      </c>
      <c r="H2025" t="str">
        <f t="shared" si="258"/>
        <v>02504501210</v>
      </c>
      <c r="I2025" t="str">
        <f t="shared" si="258"/>
        <v>02504501210</v>
      </c>
      <c r="K2025" t="str">
        <f>""</f>
        <v/>
      </c>
      <c r="M2025" t="s">
        <v>68</v>
      </c>
      <c r="N2025" t="str">
        <f t="shared" si="257"/>
        <v>FOR</v>
      </c>
      <c r="O2025" t="s">
        <v>69</v>
      </c>
      <c r="P2025" t="s">
        <v>75</v>
      </c>
      <c r="Q2025">
        <v>2016</v>
      </c>
      <c r="R2025" s="4">
        <v>42643</v>
      </c>
      <c r="S2025" s="2">
        <v>42646</v>
      </c>
      <c r="T2025" s="2">
        <v>42646</v>
      </c>
      <c r="U2025" s="4">
        <v>42706</v>
      </c>
      <c r="V2025" t="s">
        <v>71</v>
      </c>
      <c r="W2025" t="str">
        <f>"                 120"</f>
        <v xml:space="preserve">                 120</v>
      </c>
      <c r="X2025" s="1">
        <v>1448.75</v>
      </c>
      <c r="Y2025">
        <v>0</v>
      </c>
      <c r="Z2025" s="5">
        <v>1187.5</v>
      </c>
      <c r="AA2025" s="3">
        <v>68</v>
      </c>
      <c r="AB2025" s="5">
        <v>80750</v>
      </c>
      <c r="AC2025" s="1">
        <v>1187.5</v>
      </c>
      <c r="AD2025">
        <v>68</v>
      </c>
      <c r="AE2025" s="1">
        <v>80750</v>
      </c>
      <c r="AF2025">
        <v>0</v>
      </c>
      <c r="AJ2025">
        <v>0</v>
      </c>
      <c r="AK2025">
        <v>0</v>
      </c>
      <c r="AL2025">
        <v>0</v>
      </c>
      <c r="AM2025">
        <v>0</v>
      </c>
      <c r="AN2025">
        <v>0</v>
      </c>
      <c r="AO2025">
        <v>0</v>
      </c>
      <c r="AP2025" s="2">
        <v>42831</v>
      </c>
      <c r="AQ2025" t="s">
        <v>72</v>
      </c>
      <c r="AR2025" t="s">
        <v>72</v>
      </c>
      <c r="AS2025">
        <v>361</v>
      </c>
      <c r="AT2025" s="4">
        <v>42774</v>
      </c>
      <c r="AU2025" t="s">
        <v>73</v>
      </c>
      <c r="AV2025">
        <v>361</v>
      </c>
      <c r="AW2025" s="4">
        <v>42774</v>
      </c>
      <c r="BD2025">
        <v>0</v>
      </c>
      <c r="BN2025" t="s">
        <v>74</v>
      </c>
    </row>
    <row r="2026" spans="1:66">
      <c r="A2026">
        <v>104560</v>
      </c>
      <c r="B2026" t="s">
        <v>411</v>
      </c>
      <c r="C2026" s="1">
        <v>43300101</v>
      </c>
      <c r="D2026" t="s">
        <v>67</v>
      </c>
      <c r="H2026" t="str">
        <f t="shared" si="258"/>
        <v>02504501210</v>
      </c>
      <c r="I2026" t="str">
        <f t="shared" si="258"/>
        <v>02504501210</v>
      </c>
      <c r="K2026" t="str">
        <f>""</f>
        <v/>
      </c>
      <c r="M2026" t="s">
        <v>68</v>
      </c>
      <c r="N2026" t="str">
        <f t="shared" si="257"/>
        <v>FOR</v>
      </c>
      <c r="O2026" t="s">
        <v>69</v>
      </c>
      <c r="P2026" t="s">
        <v>75</v>
      </c>
      <c r="Q2026">
        <v>2016</v>
      </c>
      <c r="R2026" s="4">
        <v>42643</v>
      </c>
      <c r="S2026" s="2">
        <v>42654</v>
      </c>
      <c r="T2026" s="2">
        <v>42649</v>
      </c>
      <c r="U2026" s="4">
        <v>42709</v>
      </c>
      <c r="V2026" t="s">
        <v>71</v>
      </c>
      <c r="W2026" t="str">
        <f>"                 127"</f>
        <v xml:space="preserve">                 127</v>
      </c>
      <c r="X2026" s="1">
        <v>9242.7199999999993</v>
      </c>
      <c r="Y2026">
        <v>0</v>
      </c>
      <c r="Z2026" s="5">
        <v>7576</v>
      </c>
      <c r="AA2026" s="3">
        <v>65</v>
      </c>
      <c r="AB2026" s="5">
        <v>492440</v>
      </c>
      <c r="AC2026" s="1">
        <v>7576</v>
      </c>
      <c r="AD2026">
        <v>65</v>
      </c>
      <c r="AE2026" s="1">
        <v>492440</v>
      </c>
      <c r="AF2026">
        <v>0</v>
      </c>
      <c r="AJ2026">
        <v>0</v>
      </c>
      <c r="AK2026">
        <v>0</v>
      </c>
      <c r="AL2026">
        <v>0</v>
      </c>
      <c r="AM2026">
        <v>0</v>
      </c>
      <c r="AN2026">
        <v>0</v>
      </c>
      <c r="AO2026">
        <v>0</v>
      </c>
      <c r="AP2026" s="2">
        <v>42831</v>
      </c>
      <c r="AQ2026" t="s">
        <v>72</v>
      </c>
      <c r="AR2026" t="s">
        <v>72</v>
      </c>
      <c r="AS2026">
        <v>361</v>
      </c>
      <c r="AT2026" s="4">
        <v>42774</v>
      </c>
      <c r="AU2026" t="s">
        <v>73</v>
      </c>
      <c r="AV2026">
        <v>361</v>
      </c>
      <c r="AW2026" s="4">
        <v>42774</v>
      </c>
      <c r="BD2026">
        <v>0</v>
      </c>
      <c r="BN2026" t="s">
        <v>74</v>
      </c>
    </row>
    <row r="2027" spans="1:66">
      <c r="A2027">
        <v>104560</v>
      </c>
      <c r="B2027" t="s">
        <v>411</v>
      </c>
      <c r="C2027" s="1">
        <v>43300101</v>
      </c>
      <c r="D2027" t="s">
        <v>67</v>
      </c>
      <c r="H2027" t="str">
        <f t="shared" si="258"/>
        <v>02504501210</v>
      </c>
      <c r="I2027" t="str">
        <f t="shared" si="258"/>
        <v>02504501210</v>
      </c>
      <c r="K2027" t="str">
        <f>""</f>
        <v/>
      </c>
      <c r="M2027" t="s">
        <v>68</v>
      </c>
      <c r="N2027" t="str">
        <f t="shared" si="257"/>
        <v>FOR</v>
      </c>
      <c r="O2027" t="s">
        <v>69</v>
      </c>
      <c r="P2027" t="s">
        <v>75</v>
      </c>
      <c r="Q2027">
        <v>2016</v>
      </c>
      <c r="R2027" s="4">
        <v>42674</v>
      </c>
      <c r="S2027" s="2">
        <v>42676</v>
      </c>
      <c r="T2027" s="2">
        <v>42674</v>
      </c>
      <c r="U2027" s="4">
        <v>42734</v>
      </c>
      <c r="V2027" t="s">
        <v>71</v>
      </c>
      <c r="W2027" t="str">
        <f>"                 128"</f>
        <v xml:space="preserve">                 128</v>
      </c>
      <c r="X2027" s="1">
        <v>1831.22</v>
      </c>
      <c r="Y2027">
        <v>0</v>
      </c>
      <c r="Z2027" s="5">
        <v>1501</v>
      </c>
      <c r="AA2027" s="3">
        <v>59</v>
      </c>
      <c r="AB2027" s="5">
        <v>88559</v>
      </c>
      <c r="AC2027" s="1">
        <v>1501</v>
      </c>
      <c r="AD2027">
        <v>59</v>
      </c>
      <c r="AE2027" s="1">
        <v>88559</v>
      </c>
      <c r="AF2027">
        <v>0</v>
      </c>
      <c r="AJ2027">
        <v>0</v>
      </c>
      <c r="AK2027">
        <v>0</v>
      </c>
      <c r="AL2027">
        <v>0</v>
      </c>
      <c r="AM2027">
        <v>0</v>
      </c>
      <c r="AN2027">
        <v>0</v>
      </c>
      <c r="AO2027">
        <v>0</v>
      </c>
      <c r="AP2027" s="2">
        <v>42831</v>
      </c>
      <c r="AQ2027" t="s">
        <v>72</v>
      </c>
      <c r="AR2027" t="s">
        <v>72</v>
      </c>
      <c r="AS2027">
        <v>618</v>
      </c>
      <c r="AT2027" s="4">
        <v>42793</v>
      </c>
      <c r="AU2027" t="s">
        <v>73</v>
      </c>
      <c r="AV2027">
        <v>618</v>
      </c>
      <c r="AW2027" s="4">
        <v>42793</v>
      </c>
      <c r="BD2027">
        <v>0</v>
      </c>
      <c r="BN2027" t="s">
        <v>74</v>
      </c>
    </row>
    <row r="2028" spans="1:66">
      <c r="A2028">
        <v>104560</v>
      </c>
      <c r="B2028" t="s">
        <v>411</v>
      </c>
      <c r="C2028" s="1">
        <v>43300101</v>
      </c>
      <c r="D2028" t="s">
        <v>67</v>
      </c>
      <c r="H2028" t="str">
        <f t="shared" si="258"/>
        <v>02504501210</v>
      </c>
      <c r="I2028" t="str">
        <f t="shared" si="258"/>
        <v>02504501210</v>
      </c>
      <c r="K2028" t="str">
        <f>""</f>
        <v/>
      </c>
      <c r="M2028" t="s">
        <v>68</v>
      </c>
      <c r="N2028" t="str">
        <f t="shared" si="257"/>
        <v>FOR</v>
      </c>
      <c r="O2028" t="s">
        <v>69</v>
      </c>
      <c r="P2028" t="s">
        <v>75</v>
      </c>
      <c r="Q2028">
        <v>2016</v>
      </c>
      <c r="R2028" s="4">
        <v>42674</v>
      </c>
      <c r="S2028" s="2">
        <v>42676</v>
      </c>
      <c r="T2028" s="2">
        <v>42674</v>
      </c>
      <c r="U2028" s="4">
        <v>42734</v>
      </c>
      <c r="V2028" t="s">
        <v>71</v>
      </c>
      <c r="W2028" t="str">
        <f>"                 129"</f>
        <v xml:space="preserve">                 129</v>
      </c>
      <c r="X2028">
        <v>472.14</v>
      </c>
      <c r="Y2028">
        <v>0</v>
      </c>
      <c r="Z2028" s="5">
        <v>387</v>
      </c>
      <c r="AA2028" s="3">
        <v>59</v>
      </c>
      <c r="AB2028" s="5">
        <v>22833</v>
      </c>
      <c r="AC2028">
        <v>387</v>
      </c>
      <c r="AD2028">
        <v>59</v>
      </c>
      <c r="AE2028" s="1">
        <v>22833</v>
      </c>
      <c r="AF2028">
        <v>0</v>
      </c>
      <c r="AJ2028">
        <v>0</v>
      </c>
      <c r="AK2028">
        <v>0</v>
      </c>
      <c r="AL2028">
        <v>0</v>
      </c>
      <c r="AM2028">
        <v>0</v>
      </c>
      <c r="AN2028">
        <v>0</v>
      </c>
      <c r="AO2028">
        <v>0</v>
      </c>
      <c r="AP2028" s="2">
        <v>42831</v>
      </c>
      <c r="AQ2028" t="s">
        <v>72</v>
      </c>
      <c r="AR2028" t="s">
        <v>72</v>
      </c>
      <c r="AS2028">
        <v>618</v>
      </c>
      <c r="AT2028" s="4">
        <v>42793</v>
      </c>
      <c r="AU2028" t="s">
        <v>73</v>
      </c>
      <c r="AV2028">
        <v>618</v>
      </c>
      <c r="AW2028" s="4">
        <v>42793</v>
      </c>
      <c r="BD2028">
        <v>0</v>
      </c>
      <c r="BN2028" t="s">
        <v>74</v>
      </c>
    </row>
    <row r="2029" spans="1:66">
      <c r="A2029">
        <v>104560</v>
      </c>
      <c r="B2029" t="s">
        <v>411</v>
      </c>
      <c r="C2029" s="1">
        <v>43300101</v>
      </c>
      <c r="D2029" t="s">
        <v>67</v>
      </c>
      <c r="H2029" t="str">
        <f t="shared" si="258"/>
        <v>02504501210</v>
      </c>
      <c r="I2029" t="str">
        <f t="shared" si="258"/>
        <v>02504501210</v>
      </c>
      <c r="K2029" t="str">
        <f>""</f>
        <v/>
      </c>
      <c r="M2029" t="s">
        <v>68</v>
      </c>
      <c r="N2029" t="str">
        <f t="shared" si="257"/>
        <v>FOR</v>
      </c>
      <c r="O2029" t="s">
        <v>69</v>
      </c>
      <c r="P2029" t="s">
        <v>75</v>
      </c>
      <c r="Q2029">
        <v>2016</v>
      </c>
      <c r="R2029" s="4">
        <v>42674</v>
      </c>
      <c r="S2029" s="2">
        <v>42676</v>
      </c>
      <c r="T2029" s="2">
        <v>42674</v>
      </c>
      <c r="U2029" s="4">
        <v>42734</v>
      </c>
      <c r="V2029" t="s">
        <v>71</v>
      </c>
      <c r="W2029" t="str">
        <f>"                 131"</f>
        <v xml:space="preserve">                 131</v>
      </c>
      <c r="X2029">
        <v>353.8</v>
      </c>
      <c r="Y2029">
        <v>0</v>
      </c>
      <c r="Z2029" s="5">
        <v>290</v>
      </c>
      <c r="AA2029" s="3">
        <v>59</v>
      </c>
      <c r="AB2029" s="5">
        <v>17110</v>
      </c>
      <c r="AC2029">
        <v>290</v>
      </c>
      <c r="AD2029">
        <v>59</v>
      </c>
      <c r="AE2029" s="1">
        <v>17110</v>
      </c>
      <c r="AF2029">
        <v>0</v>
      </c>
      <c r="AJ2029">
        <v>0</v>
      </c>
      <c r="AK2029">
        <v>0</v>
      </c>
      <c r="AL2029">
        <v>0</v>
      </c>
      <c r="AM2029">
        <v>0</v>
      </c>
      <c r="AN2029">
        <v>0</v>
      </c>
      <c r="AO2029">
        <v>0</v>
      </c>
      <c r="AP2029" s="2">
        <v>42831</v>
      </c>
      <c r="AQ2029" t="s">
        <v>72</v>
      </c>
      <c r="AR2029" t="s">
        <v>72</v>
      </c>
      <c r="AS2029">
        <v>618</v>
      </c>
      <c r="AT2029" s="4">
        <v>42793</v>
      </c>
      <c r="AU2029" t="s">
        <v>73</v>
      </c>
      <c r="AV2029">
        <v>618</v>
      </c>
      <c r="AW2029" s="4">
        <v>42793</v>
      </c>
      <c r="BD2029">
        <v>0</v>
      </c>
      <c r="BN2029" t="s">
        <v>74</v>
      </c>
    </row>
    <row r="2030" spans="1:66">
      <c r="A2030">
        <v>104560</v>
      </c>
      <c r="B2030" t="s">
        <v>411</v>
      </c>
      <c r="C2030" s="1">
        <v>43300101</v>
      </c>
      <c r="D2030" t="s">
        <v>67</v>
      </c>
      <c r="H2030" t="str">
        <f t="shared" si="258"/>
        <v>02504501210</v>
      </c>
      <c r="I2030" t="str">
        <f t="shared" si="258"/>
        <v>02504501210</v>
      </c>
      <c r="K2030" t="str">
        <f>""</f>
        <v/>
      </c>
      <c r="M2030" t="s">
        <v>68</v>
      </c>
      <c r="N2030" t="str">
        <f t="shared" si="257"/>
        <v>FOR</v>
      </c>
      <c r="O2030" t="s">
        <v>69</v>
      </c>
      <c r="P2030" t="s">
        <v>75</v>
      </c>
      <c r="Q2030">
        <v>2016</v>
      </c>
      <c r="R2030" s="4">
        <v>42674</v>
      </c>
      <c r="S2030" s="2">
        <v>42681</v>
      </c>
      <c r="T2030" s="2">
        <v>42677</v>
      </c>
      <c r="U2030" s="4">
        <v>42737</v>
      </c>
      <c r="V2030" t="s">
        <v>71</v>
      </c>
      <c r="W2030" t="str">
        <f>"                 135"</f>
        <v xml:space="preserve">                 135</v>
      </c>
      <c r="X2030">
        <v>894.67</v>
      </c>
      <c r="Y2030">
        <v>0</v>
      </c>
      <c r="Z2030" s="5">
        <v>733.34</v>
      </c>
      <c r="AA2030" s="3">
        <v>56</v>
      </c>
      <c r="AB2030" s="5">
        <v>41067.040000000001</v>
      </c>
      <c r="AC2030">
        <v>733.34</v>
      </c>
      <c r="AD2030">
        <v>56</v>
      </c>
      <c r="AE2030" s="1">
        <v>41067.040000000001</v>
      </c>
      <c r="AF2030">
        <v>0</v>
      </c>
      <c r="AJ2030">
        <v>0</v>
      </c>
      <c r="AK2030">
        <v>0</v>
      </c>
      <c r="AL2030">
        <v>0</v>
      </c>
      <c r="AM2030">
        <v>0</v>
      </c>
      <c r="AN2030">
        <v>0</v>
      </c>
      <c r="AO2030">
        <v>0</v>
      </c>
      <c r="AP2030" s="2">
        <v>42831</v>
      </c>
      <c r="AQ2030" t="s">
        <v>72</v>
      </c>
      <c r="AR2030" t="s">
        <v>72</v>
      </c>
      <c r="AS2030">
        <v>618</v>
      </c>
      <c r="AT2030" s="4">
        <v>42793</v>
      </c>
      <c r="AU2030" t="s">
        <v>73</v>
      </c>
      <c r="AV2030">
        <v>618</v>
      </c>
      <c r="AW2030" s="4">
        <v>42793</v>
      </c>
      <c r="BD2030">
        <v>0</v>
      </c>
      <c r="BN2030" t="s">
        <v>74</v>
      </c>
    </row>
    <row r="2031" spans="1:66">
      <c r="A2031">
        <v>104563</v>
      </c>
      <c r="B2031" t="s">
        <v>412</v>
      </c>
      <c r="C2031" s="1">
        <v>43300101</v>
      </c>
      <c r="D2031" t="s">
        <v>67</v>
      </c>
      <c r="H2031" t="str">
        <f t="shared" ref="H2031:I2034" si="259">"02298700010"</f>
        <v>02298700010</v>
      </c>
      <c r="I2031" t="str">
        <f t="shared" si="259"/>
        <v>02298700010</v>
      </c>
      <c r="K2031" t="str">
        <f>""</f>
        <v/>
      </c>
      <c r="M2031" t="s">
        <v>68</v>
      </c>
      <c r="N2031" t="str">
        <f t="shared" si="257"/>
        <v>FOR</v>
      </c>
      <c r="O2031" t="s">
        <v>69</v>
      </c>
      <c r="P2031" t="s">
        <v>75</v>
      </c>
      <c r="Q2031">
        <v>2016</v>
      </c>
      <c r="R2031" s="4">
        <v>42510</v>
      </c>
      <c r="S2031" s="2">
        <v>42513</v>
      </c>
      <c r="T2031" s="2">
        <v>42511</v>
      </c>
      <c r="U2031" s="4">
        <v>42571</v>
      </c>
      <c r="V2031" t="s">
        <v>71</v>
      </c>
      <c r="W2031" t="str">
        <f>"          0000011851"</f>
        <v xml:space="preserve">          0000011851</v>
      </c>
      <c r="X2031" s="1">
        <v>1889.34</v>
      </c>
      <c r="Y2031">
        <v>0</v>
      </c>
      <c r="Z2031" s="5">
        <v>1548.64</v>
      </c>
      <c r="AA2031" s="3">
        <v>222</v>
      </c>
      <c r="AB2031" s="5">
        <v>343798.08</v>
      </c>
      <c r="AC2031" s="1">
        <v>1548.64</v>
      </c>
      <c r="AD2031">
        <v>222</v>
      </c>
      <c r="AE2031" s="1">
        <v>343798.08</v>
      </c>
      <c r="AF2031">
        <v>0</v>
      </c>
      <c r="AJ2031">
        <v>0</v>
      </c>
      <c r="AK2031">
        <v>0</v>
      </c>
      <c r="AL2031">
        <v>0</v>
      </c>
      <c r="AM2031">
        <v>0</v>
      </c>
      <c r="AN2031">
        <v>0</v>
      </c>
      <c r="AO2031">
        <v>0</v>
      </c>
      <c r="AP2031" s="2">
        <v>42831</v>
      </c>
      <c r="AQ2031" t="s">
        <v>72</v>
      </c>
      <c r="AR2031" t="s">
        <v>72</v>
      </c>
      <c r="AS2031">
        <v>613</v>
      </c>
      <c r="AT2031" s="4">
        <v>42793</v>
      </c>
      <c r="AU2031" t="s">
        <v>73</v>
      </c>
      <c r="AV2031">
        <v>613</v>
      </c>
      <c r="AW2031" s="4">
        <v>42793</v>
      </c>
      <c r="BD2031">
        <v>0</v>
      </c>
      <c r="BN2031" t="s">
        <v>74</v>
      </c>
    </row>
    <row r="2032" spans="1:66">
      <c r="A2032">
        <v>104563</v>
      </c>
      <c r="B2032" t="s">
        <v>412</v>
      </c>
      <c r="C2032" s="1">
        <v>43300101</v>
      </c>
      <c r="D2032" t="s">
        <v>67</v>
      </c>
      <c r="H2032" t="str">
        <f t="shared" si="259"/>
        <v>02298700010</v>
      </c>
      <c r="I2032" t="str">
        <f t="shared" si="259"/>
        <v>02298700010</v>
      </c>
      <c r="K2032" t="str">
        <f>""</f>
        <v/>
      </c>
      <c r="M2032" t="s">
        <v>68</v>
      </c>
      <c r="N2032" t="str">
        <f t="shared" si="257"/>
        <v>FOR</v>
      </c>
      <c r="O2032" t="s">
        <v>69</v>
      </c>
      <c r="P2032" t="s">
        <v>75</v>
      </c>
      <c r="Q2032">
        <v>2016</v>
      </c>
      <c r="R2032" s="4">
        <v>42529</v>
      </c>
      <c r="S2032" s="2">
        <v>42530</v>
      </c>
      <c r="T2032" s="2">
        <v>42530</v>
      </c>
      <c r="U2032" s="4">
        <v>42590</v>
      </c>
      <c r="V2032" t="s">
        <v>71</v>
      </c>
      <c r="W2032" t="str">
        <f>"          0000012940"</f>
        <v xml:space="preserve">          0000012940</v>
      </c>
      <c r="X2032" s="1">
        <v>1889.34</v>
      </c>
      <c r="Y2032">
        <v>0</v>
      </c>
      <c r="Z2032" s="5">
        <v>1548.64</v>
      </c>
      <c r="AA2032" s="3">
        <v>203</v>
      </c>
      <c r="AB2032" s="5">
        <v>314373.92</v>
      </c>
      <c r="AC2032" s="1">
        <v>1548.64</v>
      </c>
      <c r="AD2032">
        <v>203</v>
      </c>
      <c r="AE2032" s="1">
        <v>314373.92</v>
      </c>
      <c r="AF2032">
        <v>0</v>
      </c>
      <c r="AJ2032">
        <v>0</v>
      </c>
      <c r="AK2032">
        <v>0</v>
      </c>
      <c r="AL2032">
        <v>0</v>
      </c>
      <c r="AM2032">
        <v>0</v>
      </c>
      <c r="AN2032">
        <v>0</v>
      </c>
      <c r="AO2032">
        <v>0</v>
      </c>
      <c r="AP2032" s="2">
        <v>42831</v>
      </c>
      <c r="AQ2032" t="s">
        <v>72</v>
      </c>
      <c r="AR2032" t="s">
        <v>72</v>
      </c>
      <c r="AS2032">
        <v>613</v>
      </c>
      <c r="AT2032" s="4">
        <v>42793</v>
      </c>
      <c r="AU2032" t="s">
        <v>73</v>
      </c>
      <c r="AV2032">
        <v>613</v>
      </c>
      <c r="AW2032" s="4">
        <v>42793</v>
      </c>
      <c r="BD2032">
        <v>0</v>
      </c>
      <c r="BN2032" t="s">
        <v>74</v>
      </c>
    </row>
    <row r="2033" spans="1:66">
      <c r="A2033">
        <v>104563</v>
      </c>
      <c r="B2033" t="s">
        <v>412</v>
      </c>
      <c r="C2033" s="1">
        <v>43300101</v>
      </c>
      <c r="D2033" t="s">
        <v>67</v>
      </c>
      <c r="H2033" t="str">
        <f t="shared" si="259"/>
        <v>02298700010</v>
      </c>
      <c r="I2033" t="str">
        <f t="shared" si="259"/>
        <v>02298700010</v>
      </c>
      <c r="K2033" t="str">
        <f>""</f>
        <v/>
      </c>
      <c r="M2033" t="s">
        <v>68</v>
      </c>
      <c r="N2033" t="str">
        <f t="shared" si="257"/>
        <v>FOR</v>
      </c>
      <c r="O2033" t="s">
        <v>69</v>
      </c>
      <c r="P2033" t="s">
        <v>75</v>
      </c>
      <c r="Q2033">
        <v>2016</v>
      </c>
      <c r="R2033" s="4">
        <v>42551</v>
      </c>
      <c r="S2033" s="2">
        <v>42555</v>
      </c>
      <c r="T2033" s="2">
        <v>42552</v>
      </c>
      <c r="U2033" s="4">
        <v>42612</v>
      </c>
      <c r="V2033" t="s">
        <v>71</v>
      </c>
      <c r="W2033" t="str">
        <f>"          1136903307"</f>
        <v xml:space="preserve">          1136903307</v>
      </c>
      <c r="X2033">
        <v>208.46</v>
      </c>
      <c r="Y2033">
        <v>0</v>
      </c>
      <c r="Z2033" s="5">
        <v>170.87</v>
      </c>
      <c r="AA2033" s="3">
        <v>181</v>
      </c>
      <c r="AB2033" s="5">
        <v>30927.47</v>
      </c>
      <c r="AC2033">
        <v>170.87</v>
      </c>
      <c r="AD2033">
        <v>181</v>
      </c>
      <c r="AE2033" s="1">
        <v>30927.47</v>
      </c>
      <c r="AF2033">
        <v>0</v>
      </c>
      <c r="AJ2033">
        <v>0</v>
      </c>
      <c r="AK2033">
        <v>0</v>
      </c>
      <c r="AL2033">
        <v>0</v>
      </c>
      <c r="AM2033">
        <v>0</v>
      </c>
      <c r="AN2033">
        <v>0</v>
      </c>
      <c r="AO2033">
        <v>0</v>
      </c>
      <c r="AP2033" s="2">
        <v>42831</v>
      </c>
      <c r="AQ2033" t="s">
        <v>72</v>
      </c>
      <c r="AR2033" t="s">
        <v>72</v>
      </c>
      <c r="AS2033">
        <v>613</v>
      </c>
      <c r="AT2033" s="4">
        <v>42793</v>
      </c>
      <c r="AU2033" t="s">
        <v>73</v>
      </c>
      <c r="AV2033">
        <v>613</v>
      </c>
      <c r="AW2033" s="4">
        <v>42793</v>
      </c>
      <c r="BD2033">
        <v>0</v>
      </c>
      <c r="BN2033" t="s">
        <v>74</v>
      </c>
    </row>
    <row r="2034" spans="1:66">
      <c r="A2034">
        <v>104563</v>
      </c>
      <c r="B2034" t="s">
        <v>412</v>
      </c>
      <c r="C2034" s="1">
        <v>43300101</v>
      </c>
      <c r="D2034" t="s">
        <v>67</v>
      </c>
      <c r="H2034" t="str">
        <f t="shared" si="259"/>
        <v>02298700010</v>
      </c>
      <c r="I2034" t="str">
        <f t="shared" si="259"/>
        <v>02298700010</v>
      </c>
      <c r="K2034" t="str">
        <f>""</f>
        <v/>
      </c>
      <c r="M2034" t="s">
        <v>68</v>
      </c>
      <c r="N2034" t="str">
        <f t="shared" si="257"/>
        <v>FOR</v>
      </c>
      <c r="O2034" t="s">
        <v>69</v>
      </c>
      <c r="P2034" t="s">
        <v>75</v>
      </c>
      <c r="Q2034">
        <v>2016</v>
      </c>
      <c r="R2034" s="4">
        <v>42551</v>
      </c>
      <c r="S2034" s="2">
        <v>42555</v>
      </c>
      <c r="T2034" s="2">
        <v>42552</v>
      </c>
      <c r="U2034" s="4">
        <v>42612</v>
      </c>
      <c r="V2034" t="s">
        <v>71</v>
      </c>
      <c r="W2034" t="str">
        <f>"          1136903308"</f>
        <v xml:space="preserve">          1136903308</v>
      </c>
      <c r="X2034">
        <v>47.37</v>
      </c>
      <c r="Y2034">
        <v>0</v>
      </c>
      <c r="Z2034" s="5">
        <v>38.83</v>
      </c>
      <c r="AA2034" s="3">
        <v>181</v>
      </c>
      <c r="AB2034" s="5">
        <v>7028.23</v>
      </c>
      <c r="AC2034">
        <v>38.83</v>
      </c>
      <c r="AD2034">
        <v>181</v>
      </c>
      <c r="AE2034" s="1">
        <v>7028.23</v>
      </c>
      <c r="AF2034">
        <v>0</v>
      </c>
      <c r="AJ2034">
        <v>0</v>
      </c>
      <c r="AK2034">
        <v>0</v>
      </c>
      <c r="AL2034">
        <v>0</v>
      </c>
      <c r="AM2034">
        <v>0</v>
      </c>
      <c r="AN2034">
        <v>0</v>
      </c>
      <c r="AO2034">
        <v>0</v>
      </c>
      <c r="AP2034" s="2">
        <v>42831</v>
      </c>
      <c r="AQ2034" t="s">
        <v>72</v>
      </c>
      <c r="AR2034" t="s">
        <v>72</v>
      </c>
      <c r="AS2034">
        <v>613</v>
      </c>
      <c r="AT2034" s="4">
        <v>42793</v>
      </c>
      <c r="AU2034" t="s">
        <v>73</v>
      </c>
      <c r="AV2034">
        <v>613</v>
      </c>
      <c r="AW2034" s="4">
        <v>42793</v>
      </c>
      <c r="BD2034">
        <v>0</v>
      </c>
      <c r="BN2034" t="s">
        <v>74</v>
      </c>
    </row>
    <row r="2035" spans="1:66">
      <c r="A2035">
        <v>104590</v>
      </c>
      <c r="B2035" t="s">
        <v>413</v>
      </c>
      <c r="C2035" s="1">
        <v>43300101</v>
      </c>
      <c r="D2035" t="s">
        <v>67</v>
      </c>
      <c r="H2035" t="str">
        <f t="shared" ref="H2035:I2038" si="260">"04337640280"</f>
        <v>04337640280</v>
      </c>
      <c r="I2035" t="str">
        <f t="shared" si="260"/>
        <v>04337640280</v>
      </c>
      <c r="K2035" t="str">
        <f>""</f>
        <v/>
      </c>
      <c r="M2035" t="s">
        <v>68</v>
      </c>
      <c r="N2035" t="str">
        <f t="shared" si="257"/>
        <v>FOR</v>
      </c>
      <c r="O2035" t="s">
        <v>69</v>
      </c>
      <c r="P2035" t="s">
        <v>75</v>
      </c>
      <c r="Q2035">
        <v>2016</v>
      </c>
      <c r="R2035" s="4">
        <v>42458</v>
      </c>
      <c r="S2035" s="2">
        <v>42479</v>
      </c>
      <c r="T2035" s="2">
        <v>42478</v>
      </c>
      <c r="U2035" s="4">
        <v>42538</v>
      </c>
      <c r="V2035" t="s">
        <v>71</v>
      </c>
      <c r="W2035" t="str">
        <f>"              1345/4"</f>
        <v xml:space="preserve">              1345/4</v>
      </c>
      <c r="X2035">
        <v>305</v>
      </c>
      <c r="Y2035">
        <v>0</v>
      </c>
      <c r="Z2035" s="5">
        <v>250</v>
      </c>
      <c r="AA2035" s="3">
        <v>230</v>
      </c>
      <c r="AB2035" s="5">
        <v>57500</v>
      </c>
      <c r="AC2035">
        <v>250</v>
      </c>
      <c r="AD2035">
        <v>230</v>
      </c>
      <c r="AE2035" s="1">
        <v>57500</v>
      </c>
      <c r="AF2035">
        <v>0</v>
      </c>
      <c r="AJ2035">
        <v>0</v>
      </c>
      <c r="AK2035">
        <v>0</v>
      </c>
      <c r="AL2035">
        <v>0</v>
      </c>
      <c r="AM2035">
        <v>0</v>
      </c>
      <c r="AN2035">
        <v>0</v>
      </c>
      <c r="AO2035">
        <v>0</v>
      </c>
      <c r="AP2035" s="2">
        <v>42831</v>
      </c>
      <c r="AQ2035" t="s">
        <v>72</v>
      </c>
      <c r="AR2035" t="s">
        <v>72</v>
      </c>
      <c r="AS2035">
        <v>220</v>
      </c>
      <c r="AT2035" s="4">
        <v>42768</v>
      </c>
      <c r="AU2035" t="s">
        <v>73</v>
      </c>
      <c r="AV2035">
        <v>220</v>
      </c>
      <c r="AW2035" s="4">
        <v>42768</v>
      </c>
      <c r="BD2035">
        <v>0</v>
      </c>
      <c r="BN2035" t="s">
        <v>74</v>
      </c>
    </row>
    <row r="2036" spans="1:66">
      <c r="A2036">
        <v>104590</v>
      </c>
      <c r="B2036" t="s">
        <v>413</v>
      </c>
      <c r="C2036" s="1">
        <v>43300101</v>
      </c>
      <c r="D2036" t="s">
        <v>67</v>
      </c>
      <c r="H2036" t="str">
        <f t="shared" si="260"/>
        <v>04337640280</v>
      </c>
      <c r="I2036" t="str">
        <f t="shared" si="260"/>
        <v>04337640280</v>
      </c>
      <c r="K2036" t="str">
        <f>""</f>
        <v/>
      </c>
      <c r="M2036" t="s">
        <v>68</v>
      </c>
      <c r="N2036" t="str">
        <f t="shared" si="257"/>
        <v>FOR</v>
      </c>
      <c r="O2036" t="s">
        <v>69</v>
      </c>
      <c r="P2036" t="s">
        <v>75</v>
      </c>
      <c r="Q2036">
        <v>2016</v>
      </c>
      <c r="R2036" s="4">
        <v>42490</v>
      </c>
      <c r="S2036" s="2">
        <v>42501</v>
      </c>
      <c r="T2036" s="2">
        <v>42496</v>
      </c>
      <c r="U2036" s="4">
        <v>42556</v>
      </c>
      <c r="V2036" t="s">
        <v>71</v>
      </c>
      <c r="W2036" t="str">
        <f>"              1831/4"</f>
        <v xml:space="preserve">              1831/4</v>
      </c>
      <c r="X2036" s="1">
        <v>1220</v>
      </c>
      <c r="Y2036">
        <v>0</v>
      </c>
      <c r="Z2036" s="5">
        <v>1000</v>
      </c>
      <c r="AA2036" s="3">
        <v>212</v>
      </c>
      <c r="AB2036" s="5">
        <v>212000</v>
      </c>
      <c r="AC2036" s="1">
        <v>1000</v>
      </c>
      <c r="AD2036">
        <v>212</v>
      </c>
      <c r="AE2036" s="1">
        <v>212000</v>
      </c>
      <c r="AF2036">
        <v>0</v>
      </c>
      <c r="AJ2036">
        <v>0</v>
      </c>
      <c r="AK2036">
        <v>0</v>
      </c>
      <c r="AL2036">
        <v>0</v>
      </c>
      <c r="AM2036">
        <v>0</v>
      </c>
      <c r="AN2036">
        <v>0</v>
      </c>
      <c r="AO2036">
        <v>0</v>
      </c>
      <c r="AP2036" s="2">
        <v>42831</v>
      </c>
      <c r="AQ2036" t="s">
        <v>72</v>
      </c>
      <c r="AR2036" t="s">
        <v>72</v>
      </c>
      <c r="AS2036">
        <v>220</v>
      </c>
      <c r="AT2036" s="4">
        <v>42768</v>
      </c>
      <c r="AU2036" t="s">
        <v>73</v>
      </c>
      <c r="AV2036">
        <v>220</v>
      </c>
      <c r="AW2036" s="4">
        <v>42768</v>
      </c>
      <c r="BD2036">
        <v>0</v>
      </c>
      <c r="BN2036" t="s">
        <v>74</v>
      </c>
    </row>
    <row r="2037" spans="1:66">
      <c r="A2037">
        <v>104590</v>
      </c>
      <c r="B2037" t="s">
        <v>413</v>
      </c>
      <c r="C2037" s="1">
        <v>43300101</v>
      </c>
      <c r="D2037" t="s">
        <v>67</v>
      </c>
      <c r="H2037" t="str">
        <f t="shared" si="260"/>
        <v>04337640280</v>
      </c>
      <c r="I2037" t="str">
        <f t="shared" si="260"/>
        <v>04337640280</v>
      </c>
      <c r="K2037" t="str">
        <f>""</f>
        <v/>
      </c>
      <c r="M2037" t="s">
        <v>68</v>
      </c>
      <c r="N2037" t="str">
        <f t="shared" si="257"/>
        <v>FOR</v>
      </c>
      <c r="O2037" t="s">
        <v>69</v>
      </c>
      <c r="P2037" t="s">
        <v>75</v>
      </c>
      <c r="Q2037">
        <v>2016</v>
      </c>
      <c r="R2037" s="4">
        <v>42542</v>
      </c>
      <c r="S2037" s="2">
        <v>42545</v>
      </c>
      <c r="T2037" s="2">
        <v>42544</v>
      </c>
      <c r="U2037" s="4">
        <v>42604</v>
      </c>
      <c r="V2037" t="s">
        <v>71</v>
      </c>
      <c r="W2037" t="str">
        <f>"              2735/4"</f>
        <v xml:space="preserve">              2735/4</v>
      </c>
      <c r="X2037">
        <v>305</v>
      </c>
      <c r="Y2037">
        <v>0</v>
      </c>
      <c r="Z2037" s="5">
        <v>250</v>
      </c>
      <c r="AA2037" s="3">
        <v>164</v>
      </c>
      <c r="AB2037" s="5">
        <v>41000</v>
      </c>
      <c r="AC2037">
        <v>250</v>
      </c>
      <c r="AD2037">
        <v>164</v>
      </c>
      <c r="AE2037" s="1">
        <v>41000</v>
      </c>
      <c r="AF2037">
        <v>0</v>
      </c>
      <c r="AJ2037">
        <v>0</v>
      </c>
      <c r="AK2037">
        <v>0</v>
      </c>
      <c r="AL2037">
        <v>0</v>
      </c>
      <c r="AM2037">
        <v>0</v>
      </c>
      <c r="AN2037">
        <v>0</v>
      </c>
      <c r="AO2037">
        <v>0</v>
      </c>
      <c r="AP2037" s="2">
        <v>42831</v>
      </c>
      <c r="AQ2037" t="s">
        <v>72</v>
      </c>
      <c r="AR2037" t="s">
        <v>72</v>
      </c>
      <c r="AS2037">
        <v>220</v>
      </c>
      <c r="AT2037" s="4">
        <v>42768</v>
      </c>
      <c r="AU2037" t="s">
        <v>73</v>
      </c>
      <c r="AV2037">
        <v>220</v>
      </c>
      <c r="AW2037" s="4">
        <v>42768</v>
      </c>
      <c r="BD2037">
        <v>0</v>
      </c>
      <c r="BN2037" t="s">
        <v>74</v>
      </c>
    </row>
    <row r="2038" spans="1:66">
      <c r="A2038">
        <v>104590</v>
      </c>
      <c r="B2038" t="s">
        <v>413</v>
      </c>
      <c r="C2038" s="1">
        <v>43300101</v>
      </c>
      <c r="D2038" t="s">
        <v>67</v>
      </c>
      <c r="H2038" t="str">
        <f t="shared" si="260"/>
        <v>04337640280</v>
      </c>
      <c r="I2038" t="str">
        <f t="shared" si="260"/>
        <v>04337640280</v>
      </c>
      <c r="K2038" t="str">
        <f>""</f>
        <v/>
      </c>
      <c r="M2038" t="s">
        <v>68</v>
      </c>
      <c r="N2038" t="str">
        <f t="shared" si="257"/>
        <v>FOR</v>
      </c>
      <c r="O2038" t="s">
        <v>69</v>
      </c>
      <c r="P2038" t="s">
        <v>75</v>
      </c>
      <c r="Q2038">
        <v>2016</v>
      </c>
      <c r="R2038" s="4">
        <v>42633</v>
      </c>
      <c r="S2038" s="2">
        <v>42635</v>
      </c>
      <c r="T2038" s="2">
        <v>42634</v>
      </c>
      <c r="U2038" s="4">
        <v>42694</v>
      </c>
      <c r="V2038" t="s">
        <v>71</v>
      </c>
      <c r="W2038" t="str">
        <f>"              4021/4"</f>
        <v xml:space="preserve">              4021/4</v>
      </c>
      <c r="X2038">
        <v>305</v>
      </c>
      <c r="Y2038">
        <v>0</v>
      </c>
      <c r="Z2038" s="5">
        <v>250</v>
      </c>
      <c r="AA2038" s="3">
        <v>74</v>
      </c>
      <c r="AB2038" s="5">
        <v>18500</v>
      </c>
      <c r="AC2038">
        <v>250</v>
      </c>
      <c r="AD2038">
        <v>74</v>
      </c>
      <c r="AE2038" s="1">
        <v>18500</v>
      </c>
      <c r="AF2038">
        <v>0</v>
      </c>
      <c r="AJ2038">
        <v>0</v>
      </c>
      <c r="AK2038">
        <v>0</v>
      </c>
      <c r="AL2038">
        <v>0</v>
      </c>
      <c r="AM2038">
        <v>0</v>
      </c>
      <c r="AN2038">
        <v>0</v>
      </c>
      <c r="AO2038">
        <v>0</v>
      </c>
      <c r="AP2038" s="2">
        <v>42831</v>
      </c>
      <c r="AQ2038" t="s">
        <v>72</v>
      </c>
      <c r="AR2038" t="s">
        <v>72</v>
      </c>
      <c r="AS2038">
        <v>220</v>
      </c>
      <c r="AT2038" s="4">
        <v>42768</v>
      </c>
      <c r="AU2038" t="s">
        <v>73</v>
      </c>
      <c r="AV2038">
        <v>220</v>
      </c>
      <c r="AW2038" s="4">
        <v>42768</v>
      </c>
      <c r="BD2038">
        <v>0</v>
      </c>
      <c r="BN2038" t="s">
        <v>74</v>
      </c>
    </row>
    <row r="2039" spans="1:66">
      <c r="A2039">
        <v>104591</v>
      </c>
      <c r="B2039" t="s">
        <v>414</v>
      </c>
      <c r="C2039" s="1">
        <v>43300101</v>
      </c>
      <c r="D2039" t="s">
        <v>67</v>
      </c>
      <c r="H2039" t="str">
        <f>"00941660151"</f>
        <v>00941660151</v>
      </c>
      <c r="I2039" t="str">
        <f>"00941660151"</f>
        <v>00941660151</v>
      </c>
      <c r="K2039" t="str">
        <f>""</f>
        <v/>
      </c>
      <c r="M2039" t="s">
        <v>68</v>
      </c>
      <c r="N2039" t="str">
        <f t="shared" si="257"/>
        <v>FOR</v>
      </c>
      <c r="O2039" t="s">
        <v>69</v>
      </c>
      <c r="P2039" t="s">
        <v>75</v>
      </c>
      <c r="Q2039">
        <v>2016</v>
      </c>
      <c r="R2039" s="4">
        <v>42689</v>
      </c>
      <c r="S2039" s="2">
        <v>42697</v>
      </c>
      <c r="T2039" s="2">
        <v>42692</v>
      </c>
      <c r="U2039" s="4">
        <v>42752</v>
      </c>
      <c r="V2039" t="s">
        <v>71</v>
      </c>
      <c r="W2039" t="str">
        <f>"              E04221"</f>
        <v xml:space="preserve">              E04221</v>
      </c>
      <c r="X2039">
        <v>537.76</v>
      </c>
      <c r="Y2039">
        <v>0</v>
      </c>
      <c r="Z2039" s="5">
        <v>440.79</v>
      </c>
      <c r="AA2039" s="3">
        <v>16</v>
      </c>
      <c r="AB2039" s="5">
        <v>7052.64</v>
      </c>
      <c r="AC2039">
        <v>440.79</v>
      </c>
      <c r="AD2039">
        <v>16</v>
      </c>
      <c r="AE2039" s="1">
        <v>7052.64</v>
      </c>
      <c r="AF2039">
        <v>0</v>
      </c>
      <c r="AJ2039">
        <v>0</v>
      </c>
      <c r="AK2039">
        <v>0</v>
      </c>
      <c r="AL2039">
        <v>0</v>
      </c>
      <c r="AM2039">
        <v>0</v>
      </c>
      <c r="AN2039">
        <v>0</v>
      </c>
      <c r="AO2039">
        <v>0</v>
      </c>
      <c r="AP2039" s="2">
        <v>42831</v>
      </c>
      <c r="AQ2039" t="s">
        <v>72</v>
      </c>
      <c r="AR2039" t="s">
        <v>72</v>
      </c>
      <c r="AS2039">
        <v>254</v>
      </c>
      <c r="AT2039" s="4">
        <v>42768</v>
      </c>
      <c r="AU2039" t="s">
        <v>73</v>
      </c>
      <c r="AV2039">
        <v>254</v>
      </c>
      <c r="AW2039" s="4">
        <v>42768</v>
      </c>
      <c r="BD2039">
        <v>0</v>
      </c>
      <c r="BN2039" t="s">
        <v>74</v>
      </c>
    </row>
    <row r="2040" spans="1:66">
      <c r="A2040">
        <v>104592</v>
      </c>
      <c r="B2040" t="s">
        <v>415</v>
      </c>
      <c r="C2040" s="1">
        <v>43300101</v>
      </c>
      <c r="D2040" t="s">
        <v>67</v>
      </c>
      <c r="H2040" t="str">
        <f t="shared" ref="H2040:H2057" si="261">"07931650589"</f>
        <v>07931650589</v>
      </c>
      <c r="I2040" t="str">
        <f t="shared" ref="I2040:I2057" si="262">"01911071007"</f>
        <v>01911071007</v>
      </c>
      <c r="K2040" t="str">
        <f>""</f>
        <v/>
      </c>
      <c r="M2040" t="s">
        <v>68</v>
      </c>
      <c r="N2040" t="str">
        <f t="shared" si="257"/>
        <v>FOR</v>
      </c>
      <c r="O2040" t="s">
        <v>69</v>
      </c>
      <c r="P2040" t="s">
        <v>75</v>
      </c>
      <c r="Q2040">
        <v>2016</v>
      </c>
      <c r="R2040" s="4">
        <v>42431</v>
      </c>
      <c r="S2040" s="2">
        <v>42436</v>
      </c>
      <c r="T2040" s="2">
        <v>42436</v>
      </c>
      <c r="U2040" s="4">
        <v>42496</v>
      </c>
      <c r="V2040" t="s">
        <v>71</v>
      </c>
      <c r="W2040" t="str">
        <f>"          3602931 XU"</f>
        <v xml:space="preserve">          3602931 XU</v>
      </c>
      <c r="X2040">
        <v>488</v>
      </c>
      <c r="Y2040">
        <v>0</v>
      </c>
      <c r="Z2040" s="5">
        <v>400</v>
      </c>
      <c r="AA2040" s="3">
        <v>278</v>
      </c>
      <c r="AB2040" s="5">
        <v>111200</v>
      </c>
      <c r="AC2040">
        <v>400</v>
      </c>
      <c r="AD2040">
        <v>278</v>
      </c>
      <c r="AE2040" s="1">
        <v>111200</v>
      </c>
      <c r="AF2040">
        <v>0</v>
      </c>
      <c r="AJ2040">
        <v>0</v>
      </c>
      <c r="AK2040">
        <v>0</v>
      </c>
      <c r="AL2040">
        <v>0</v>
      </c>
      <c r="AM2040">
        <v>0</v>
      </c>
      <c r="AN2040">
        <v>0</v>
      </c>
      <c r="AO2040">
        <v>0</v>
      </c>
      <c r="AP2040" s="2">
        <v>42831</v>
      </c>
      <c r="AQ2040" t="s">
        <v>72</v>
      </c>
      <c r="AR2040" t="s">
        <v>72</v>
      </c>
      <c r="AS2040">
        <v>320</v>
      </c>
      <c r="AT2040" s="4">
        <v>42774</v>
      </c>
      <c r="AU2040" t="s">
        <v>73</v>
      </c>
      <c r="AV2040">
        <v>320</v>
      </c>
      <c r="AW2040" s="4">
        <v>42774</v>
      </c>
      <c r="BD2040">
        <v>0</v>
      </c>
      <c r="BN2040" t="s">
        <v>74</v>
      </c>
    </row>
    <row r="2041" spans="1:66">
      <c r="A2041">
        <v>104592</v>
      </c>
      <c r="B2041" t="s">
        <v>415</v>
      </c>
      <c r="C2041" s="1">
        <v>43300101</v>
      </c>
      <c r="D2041" t="s">
        <v>67</v>
      </c>
      <c r="H2041" t="str">
        <f t="shared" si="261"/>
        <v>07931650589</v>
      </c>
      <c r="I2041" t="str">
        <f t="shared" si="262"/>
        <v>01911071007</v>
      </c>
      <c r="K2041" t="str">
        <f>""</f>
        <v/>
      </c>
      <c r="M2041" t="s">
        <v>68</v>
      </c>
      <c r="N2041" t="str">
        <f t="shared" si="257"/>
        <v>FOR</v>
      </c>
      <c r="O2041" t="s">
        <v>69</v>
      </c>
      <c r="P2041" t="s">
        <v>75</v>
      </c>
      <c r="Q2041">
        <v>2016</v>
      </c>
      <c r="R2041" s="4">
        <v>42439</v>
      </c>
      <c r="S2041" s="2">
        <v>42446</v>
      </c>
      <c r="T2041" s="2">
        <v>42444</v>
      </c>
      <c r="U2041" s="4">
        <v>42504</v>
      </c>
      <c r="V2041" t="s">
        <v>71</v>
      </c>
      <c r="W2041" t="str">
        <f>"          3603316 XU"</f>
        <v xml:space="preserve">          3603316 XU</v>
      </c>
      <c r="X2041" s="1">
        <v>1915.4</v>
      </c>
      <c r="Y2041">
        <v>0</v>
      </c>
      <c r="Z2041" s="5">
        <v>1570</v>
      </c>
      <c r="AA2041" s="3">
        <v>270</v>
      </c>
      <c r="AB2041" s="5">
        <v>423900</v>
      </c>
      <c r="AC2041" s="1">
        <v>1570</v>
      </c>
      <c r="AD2041">
        <v>270</v>
      </c>
      <c r="AE2041" s="1">
        <v>423900</v>
      </c>
      <c r="AF2041">
        <v>0</v>
      </c>
      <c r="AJ2041">
        <v>0</v>
      </c>
      <c r="AK2041">
        <v>0</v>
      </c>
      <c r="AL2041">
        <v>0</v>
      </c>
      <c r="AM2041">
        <v>0</v>
      </c>
      <c r="AN2041">
        <v>0</v>
      </c>
      <c r="AO2041">
        <v>0</v>
      </c>
      <c r="AP2041" s="2">
        <v>42831</v>
      </c>
      <c r="AQ2041" t="s">
        <v>72</v>
      </c>
      <c r="AR2041" t="s">
        <v>72</v>
      </c>
      <c r="AS2041">
        <v>320</v>
      </c>
      <c r="AT2041" s="4">
        <v>42774</v>
      </c>
      <c r="AU2041" t="s">
        <v>73</v>
      </c>
      <c r="AV2041">
        <v>320</v>
      </c>
      <c r="AW2041" s="4">
        <v>42774</v>
      </c>
      <c r="BD2041">
        <v>0</v>
      </c>
      <c r="BN2041" t="s">
        <v>74</v>
      </c>
    </row>
    <row r="2042" spans="1:66">
      <c r="A2042">
        <v>104592</v>
      </c>
      <c r="B2042" t="s">
        <v>415</v>
      </c>
      <c r="C2042" s="1">
        <v>43300101</v>
      </c>
      <c r="D2042" t="s">
        <v>67</v>
      </c>
      <c r="H2042" t="str">
        <f t="shared" si="261"/>
        <v>07931650589</v>
      </c>
      <c r="I2042" t="str">
        <f t="shared" si="262"/>
        <v>01911071007</v>
      </c>
      <c r="K2042" t="str">
        <f>""</f>
        <v/>
      </c>
      <c r="M2042" t="s">
        <v>68</v>
      </c>
      <c r="N2042" t="str">
        <f t="shared" si="257"/>
        <v>FOR</v>
      </c>
      <c r="O2042" t="s">
        <v>69</v>
      </c>
      <c r="P2042" t="s">
        <v>75</v>
      </c>
      <c r="Q2042">
        <v>2016</v>
      </c>
      <c r="R2042" s="4">
        <v>42452</v>
      </c>
      <c r="S2042" s="2">
        <v>42457</v>
      </c>
      <c r="T2042" s="2">
        <v>42457</v>
      </c>
      <c r="U2042" s="4">
        <v>42517</v>
      </c>
      <c r="V2042" t="s">
        <v>71</v>
      </c>
      <c r="W2042" t="str">
        <f>"          3603905 XU"</f>
        <v xml:space="preserve">          3603905 XU</v>
      </c>
      <c r="X2042" s="1">
        <v>7298.31</v>
      </c>
      <c r="Y2042">
        <v>0</v>
      </c>
      <c r="Z2042" s="5">
        <v>7017.6</v>
      </c>
      <c r="AA2042" s="3">
        <v>257</v>
      </c>
      <c r="AB2042" s="5">
        <v>1803523.2</v>
      </c>
      <c r="AC2042" s="1">
        <v>7017.6</v>
      </c>
      <c r="AD2042">
        <v>257</v>
      </c>
      <c r="AE2042" s="1">
        <v>1803523.2</v>
      </c>
      <c r="AF2042">
        <v>0</v>
      </c>
      <c r="AJ2042">
        <v>0</v>
      </c>
      <c r="AK2042">
        <v>0</v>
      </c>
      <c r="AL2042">
        <v>0</v>
      </c>
      <c r="AM2042">
        <v>0</v>
      </c>
      <c r="AN2042">
        <v>0</v>
      </c>
      <c r="AO2042">
        <v>0</v>
      </c>
      <c r="AP2042" s="2">
        <v>42831</v>
      </c>
      <c r="AQ2042" t="s">
        <v>72</v>
      </c>
      <c r="AR2042" t="s">
        <v>72</v>
      </c>
      <c r="AS2042">
        <v>320</v>
      </c>
      <c r="AT2042" s="4">
        <v>42774</v>
      </c>
      <c r="AU2042" t="s">
        <v>73</v>
      </c>
      <c r="AV2042">
        <v>320</v>
      </c>
      <c r="AW2042" s="4">
        <v>42774</v>
      </c>
      <c r="BD2042">
        <v>0</v>
      </c>
      <c r="BN2042" t="s">
        <v>74</v>
      </c>
    </row>
    <row r="2043" spans="1:66">
      <c r="A2043">
        <v>104592</v>
      </c>
      <c r="B2043" t="s">
        <v>415</v>
      </c>
      <c r="C2043" s="1">
        <v>43300101</v>
      </c>
      <c r="D2043" t="s">
        <v>67</v>
      </c>
      <c r="H2043" t="str">
        <f t="shared" si="261"/>
        <v>07931650589</v>
      </c>
      <c r="I2043" t="str">
        <f t="shared" si="262"/>
        <v>01911071007</v>
      </c>
      <c r="K2043" t="str">
        <f>""</f>
        <v/>
      </c>
      <c r="M2043" t="s">
        <v>68</v>
      </c>
      <c r="N2043" t="str">
        <f t="shared" si="257"/>
        <v>FOR</v>
      </c>
      <c r="O2043" t="s">
        <v>69</v>
      </c>
      <c r="P2043" t="s">
        <v>75</v>
      </c>
      <c r="Q2043">
        <v>2016</v>
      </c>
      <c r="R2043" s="4">
        <v>42466</v>
      </c>
      <c r="S2043" s="2">
        <v>42473</v>
      </c>
      <c r="T2043" s="2">
        <v>42471</v>
      </c>
      <c r="U2043" s="4">
        <v>42531</v>
      </c>
      <c r="V2043" t="s">
        <v>71</v>
      </c>
      <c r="W2043" t="str">
        <f>"          3604513 XU"</f>
        <v xml:space="preserve">          3604513 XU</v>
      </c>
      <c r="X2043" s="1">
        <v>3799.54</v>
      </c>
      <c r="Y2043">
        <v>0</v>
      </c>
      <c r="Z2043" s="5">
        <v>3653.4</v>
      </c>
      <c r="AA2043" s="3">
        <v>245</v>
      </c>
      <c r="AB2043" s="5">
        <v>895083</v>
      </c>
      <c r="AC2043" s="1">
        <v>3653.4</v>
      </c>
      <c r="AD2043">
        <v>245</v>
      </c>
      <c r="AE2043" s="1">
        <v>895083</v>
      </c>
      <c r="AF2043">
        <v>0</v>
      </c>
      <c r="AJ2043">
        <v>0</v>
      </c>
      <c r="AK2043">
        <v>0</v>
      </c>
      <c r="AL2043">
        <v>0</v>
      </c>
      <c r="AM2043">
        <v>0</v>
      </c>
      <c r="AN2043">
        <v>0</v>
      </c>
      <c r="AO2043">
        <v>0</v>
      </c>
      <c r="AP2043" s="2">
        <v>42831</v>
      </c>
      <c r="AQ2043" t="s">
        <v>72</v>
      </c>
      <c r="AR2043" t="s">
        <v>72</v>
      </c>
      <c r="AS2043">
        <v>405</v>
      </c>
      <c r="AT2043" s="4">
        <v>42776</v>
      </c>
      <c r="AU2043" t="s">
        <v>73</v>
      </c>
      <c r="AV2043">
        <v>405</v>
      </c>
      <c r="AW2043" s="4">
        <v>42776</v>
      </c>
      <c r="BD2043">
        <v>0</v>
      </c>
      <c r="BN2043" t="s">
        <v>74</v>
      </c>
    </row>
    <row r="2044" spans="1:66">
      <c r="A2044">
        <v>104592</v>
      </c>
      <c r="B2044" t="s">
        <v>415</v>
      </c>
      <c r="C2044" s="1">
        <v>43300101</v>
      </c>
      <c r="D2044" t="s">
        <v>67</v>
      </c>
      <c r="H2044" t="str">
        <f t="shared" si="261"/>
        <v>07931650589</v>
      </c>
      <c r="I2044" t="str">
        <f t="shared" si="262"/>
        <v>01911071007</v>
      </c>
      <c r="K2044" t="str">
        <f>""</f>
        <v/>
      </c>
      <c r="M2044" t="s">
        <v>68</v>
      </c>
      <c r="N2044" t="str">
        <f t="shared" si="257"/>
        <v>FOR</v>
      </c>
      <c r="O2044" t="s">
        <v>69</v>
      </c>
      <c r="P2044" t="s">
        <v>75</v>
      </c>
      <c r="Q2044">
        <v>2016</v>
      </c>
      <c r="R2044" s="4">
        <v>42480</v>
      </c>
      <c r="S2044" s="2">
        <v>42488</v>
      </c>
      <c r="T2044" s="2">
        <v>42485</v>
      </c>
      <c r="U2044" s="4">
        <v>42545</v>
      </c>
      <c r="V2044" t="s">
        <v>71</v>
      </c>
      <c r="W2044" t="str">
        <f>"          3605320 XU"</f>
        <v xml:space="preserve">          3605320 XU</v>
      </c>
      <c r="X2044" s="1">
        <v>5398.54</v>
      </c>
      <c r="Y2044">
        <v>0</v>
      </c>
      <c r="Z2044" s="5">
        <v>5190.8999999999996</v>
      </c>
      <c r="AA2044" s="3">
        <v>231</v>
      </c>
      <c r="AB2044" s="5">
        <v>1199097.8999999999</v>
      </c>
      <c r="AC2044" s="1">
        <v>5190.8999999999996</v>
      </c>
      <c r="AD2044">
        <v>231</v>
      </c>
      <c r="AE2044" s="1">
        <v>1199097.8999999999</v>
      </c>
      <c r="AF2044">
        <v>0</v>
      </c>
      <c r="AJ2044">
        <v>0</v>
      </c>
      <c r="AK2044">
        <v>0</v>
      </c>
      <c r="AL2044">
        <v>0</v>
      </c>
      <c r="AM2044">
        <v>0</v>
      </c>
      <c r="AN2044">
        <v>0</v>
      </c>
      <c r="AO2044">
        <v>0</v>
      </c>
      <c r="AP2044" s="2">
        <v>42831</v>
      </c>
      <c r="AQ2044" t="s">
        <v>72</v>
      </c>
      <c r="AR2044" t="s">
        <v>72</v>
      </c>
      <c r="AS2044">
        <v>405</v>
      </c>
      <c r="AT2044" s="4">
        <v>42776</v>
      </c>
      <c r="AU2044" t="s">
        <v>73</v>
      </c>
      <c r="AV2044">
        <v>405</v>
      </c>
      <c r="AW2044" s="4">
        <v>42776</v>
      </c>
      <c r="BD2044">
        <v>0</v>
      </c>
      <c r="BN2044" t="s">
        <v>74</v>
      </c>
    </row>
    <row r="2045" spans="1:66">
      <c r="A2045">
        <v>104592</v>
      </c>
      <c r="B2045" t="s">
        <v>415</v>
      </c>
      <c r="C2045" s="1">
        <v>43300101</v>
      </c>
      <c r="D2045" t="s">
        <v>67</v>
      </c>
      <c r="H2045" t="str">
        <f t="shared" si="261"/>
        <v>07931650589</v>
      </c>
      <c r="I2045" t="str">
        <f t="shared" si="262"/>
        <v>01911071007</v>
      </c>
      <c r="K2045" t="str">
        <f>""</f>
        <v/>
      </c>
      <c r="M2045" t="s">
        <v>68</v>
      </c>
      <c r="N2045" t="str">
        <f t="shared" si="257"/>
        <v>FOR</v>
      </c>
      <c r="O2045" t="s">
        <v>69</v>
      </c>
      <c r="P2045" t="s">
        <v>75</v>
      </c>
      <c r="Q2045">
        <v>2016</v>
      </c>
      <c r="R2045" s="4">
        <v>42492</v>
      </c>
      <c r="S2045" s="2">
        <v>42501</v>
      </c>
      <c r="T2045" s="2">
        <v>42496</v>
      </c>
      <c r="U2045" s="4">
        <v>42556</v>
      </c>
      <c r="V2045" t="s">
        <v>71</v>
      </c>
      <c r="W2045" t="str">
        <f>"          3605798 XU"</f>
        <v xml:space="preserve">          3605798 XU</v>
      </c>
      <c r="X2045">
        <v>610.61</v>
      </c>
      <c r="Y2045">
        <v>0</v>
      </c>
      <c r="Z2045" s="5">
        <v>500.5</v>
      </c>
      <c r="AA2045" s="3">
        <v>220</v>
      </c>
      <c r="AB2045" s="5">
        <v>110110</v>
      </c>
      <c r="AC2045">
        <v>500.5</v>
      </c>
      <c r="AD2045">
        <v>220</v>
      </c>
      <c r="AE2045" s="1">
        <v>110110</v>
      </c>
      <c r="AF2045">
        <v>0</v>
      </c>
      <c r="AJ2045">
        <v>0</v>
      </c>
      <c r="AK2045">
        <v>0</v>
      </c>
      <c r="AL2045">
        <v>0</v>
      </c>
      <c r="AM2045">
        <v>0</v>
      </c>
      <c r="AN2045">
        <v>0</v>
      </c>
      <c r="AO2045">
        <v>0</v>
      </c>
      <c r="AP2045" s="2">
        <v>42831</v>
      </c>
      <c r="AQ2045" t="s">
        <v>72</v>
      </c>
      <c r="AR2045" t="s">
        <v>72</v>
      </c>
      <c r="AS2045">
        <v>405</v>
      </c>
      <c r="AT2045" s="4">
        <v>42776</v>
      </c>
      <c r="AU2045" t="s">
        <v>73</v>
      </c>
      <c r="AV2045">
        <v>405</v>
      </c>
      <c r="AW2045" s="4">
        <v>42776</v>
      </c>
      <c r="BD2045">
        <v>0</v>
      </c>
      <c r="BN2045" t="s">
        <v>74</v>
      </c>
    </row>
    <row r="2046" spans="1:66">
      <c r="A2046">
        <v>104592</v>
      </c>
      <c r="B2046" t="s">
        <v>415</v>
      </c>
      <c r="C2046" s="1">
        <v>43300101</v>
      </c>
      <c r="D2046" t="s">
        <v>67</v>
      </c>
      <c r="H2046" t="str">
        <f t="shared" si="261"/>
        <v>07931650589</v>
      </c>
      <c r="I2046" t="str">
        <f t="shared" si="262"/>
        <v>01911071007</v>
      </c>
      <c r="K2046" t="str">
        <f>""</f>
        <v/>
      </c>
      <c r="M2046" t="s">
        <v>68</v>
      </c>
      <c r="N2046" t="str">
        <f t="shared" ref="N2046:N2061" si="263">"FOR"</f>
        <v>FOR</v>
      </c>
      <c r="O2046" t="s">
        <v>69</v>
      </c>
      <c r="P2046" t="s">
        <v>75</v>
      </c>
      <c r="Q2046">
        <v>2016</v>
      </c>
      <c r="R2046" s="4">
        <v>42492</v>
      </c>
      <c r="S2046" s="2">
        <v>42501</v>
      </c>
      <c r="T2046" s="2">
        <v>42496</v>
      </c>
      <c r="U2046" s="4">
        <v>42556</v>
      </c>
      <c r="V2046" t="s">
        <v>71</v>
      </c>
      <c r="W2046" t="str">
        <f>"          3605799 XU"</f>
        <v xml:space="preserve">          3605799 XU</v>
      </c>
      <c r="X2046" s="1">
        <v>1809.39</v>
      </c>
      <c r="Y2046">
        <v>0</v>
      </c>
      <c r="Z2046" s="5">
        <v>1739.8</v>
      </c>
      <c r="AA2046" s="3">
        <v>220</v>
      </c>
      <c r="AB2046" s="5">
        <v>382756</v>
      </c>
      <c r="AC2046" s="1">
        <v>1739.8</v>
      </c>
      <c r="AD2046">
        <v>220</v>
      </c>
      <c r="AE2046" s="1">
        <v>382756</v>
      </c>
      <c r="AF2046">
        <v>0</v>
      </c>
      <c r="AJ2046">
        <v>0</v>
      </c>
      <c r="AK2046">
        <v>0</v>
      </c>
      <c r="AL2046">
        <v>0</v>
      </c>
      <c r="AM2046">
        <v>0</v>
      </c>
      <c r="AN2046">
        <v>0</v>
      </c>
      <c r="AO2046">
        <v>0</v>
      </c>
      <c r="AP2046" s="2">
        <v>42831</v>
      </c>
      <c r="AQ2046" t="s">
        <v>72</v>
      </c>
      <c r="AR2046" t="s">
        <v>72</v>
      </c>
      <c r="AS2046">
        <v>405</v>
      </c>
      <c r="AT2046" s="4">
        <v>42776</v>
      </c>
      <c r="AU2046" t="s">
        <v>73</v>
      </c>
      <c r="AV2046">
        <v>405</v>
      </c>
      <c r="AW2046" s="4">
        <v>42776</v>
      </c>
      <c r="BD2046">
        <v>0</v>
      </c>
      <c r="BN2046" t="s">
        <v>74</v>
      </c>
    </row>
    <row r="2047" spans="1:66">
      <c r="A2047">
        <v>104592</v>
      </c>
      <c r="B2047" t="s">
        <v>415</v>
      </c>
      <c r="C2047" s="1">
        <v>43300101</v>
      </c>
      <c r="D2047" t="s">
        <v>67</v>
      </c>
      <c r="H2047" t="str">
        <f t="shared" si="261"/>
        <v>07931650589</v>
      </c>
      <c r="I2047" t="str">
        <f t="shared" si="262"/>
        <v>01911071007</v>
      </c>
      <c r="K2047" t="str">
        <f>""</f>
        <v/>
      </c>
      <c r="M2047" t="s">
        <v>68</v>
      </c>
      <c r="N2047" t="str">
        <f t="shared" si="263"/>
        <v>FOR</v>
      </c>
      <c r="O2047" t="s">
        <v>69</v>
      </c>
      <c r="P2047" t="s">
        <v>75</v>
      </c>
      <c r="Q2047">
        <v>2016</v>
      </c>
      <c r="R2047" s="4">
        <v>42517</v>
      </c>
      <c r="S2047" s="2">
        <v>42522</v>
      </c>
      <c r="T2047" s="2">
        <v>42521</v>
      </c>
      <c r="U2047" s="4">
        <v>42581</v>
      </c>
      <c r="V2047" t="s">
        <v>71</v>
      </c>
      <c r="W2047" t="str">
        <f>"          3607087 XU"</f>
        <v xml:space="preserve">          3607087 XU</v>
      </c>
      <c r="X2047" s="1">
        <v>2623</v>
      </c>
      <c r="Y2047">
        <v>0</v>
      </c>
      <c r="Z2047" s="5">
        <v>2150</v>
      </c>
      <c r="AA2047" s="3">
        <v>195</v>
      </c>
      <c r="AB2047" s="5">
        <v>419250</v>
      </c>
      <c r="AC2047" s="1">
        <v>2150</v>
      </c>
      <c r="AD2047">
        <v>195</v>
      </c>
      <c r="AE2047" s="1">
        <v>419250</v>
      </c>
      <c r="AF2047">
        <v>0</v>
      </c>
      <c r="AJ2047">
        <v>0</v>
      </c>
      <c r="AK2047">
        <v>0</v>
      </c>
      <c r="AL2047">
        <v>0</v>
      </c>
      <c r="AM2047">
        <v>0</v>
      </c>
      <c r="AN2047">
        <v>0</v>
      </c>
      <c r="AO2047">
        <v>0</v>
      </c>
      <c r="AP2047" s="2">
        <v>42831</v>
      </c>
      <c r="AQ2047" t="s">
        <v>72</v>
      </c>
      <c r="AR2047" t="s">
        <v>72</v>
      </c>
      <c r="AS2047">
        <v>405</v>
      </c>
      <c r="AT2047" s="4">
        <v>42776</v>
      </c>
      <c r="AU2047" t="s">
        <v>73</v>
      </c>
      <c r="AV2047">
        <v>405</v>
      </c>
      <c r="AW2047" s="4">
        <v>42776</v>
      </c>
      <c r="BD2047">
        <v>0</v>
      </c>
      <c r="BN2047" t="s">
        <v>74</v>
      </c>
    </row>
    <row r="2048" spans="1:66">
      <c r="A2048">
        <v>104592</v>
      </c>
      <c r="B2048" t="s">
        <v>415</v>
      </c>
      <c r="C2048" s="1">
        <v>43300101</v>
      </c>
      <c r="D2048" t="s">
        <v>67</v>
      </c>
      <c r="H2048" t="str">
        <f t="shared" si="261"/>
        <v>07931650589</v>
      </c>
      <c r="I2048" t="str">
        <f t="shared" si="262"/>
        <v>01911071007</v>
      </c>
      <c r="K2048" t="str">
        <f>""</f>
        <v/>
      </c>
      <c r="M2048" t="s">
        <v>68</v>
      </c>
      <c r="N2048" t="str">
        <f t="shared" si="263"/>
        <v>FOR</v>
      </c>
      <c r="O2048" t="s">
        <v>69</v>
      </c>
      <c r="P2048" t="s">
        <v>75</v>
      </c>
      <c r="Q2048">
        <v>2016</v>
      </c>
      <c r="R2048" s="4">
        <v>42535</v>
      </c>
      <c r="S2048" s="2">
        <v>42543</v>
      </c>
      <c r="T2048" s="2">
        <v>42539</v>
      </c>
      <c r="U2048" s="4">
        <v>42599</v>
      </c>
      <c r="V2048" t="s">
        <v>71</v>
      </c>
      <c r="W2048" t="str">
        <f>"          3607807 XU"</f>
        <v xml:space="preserve">          3607807 XU</v>
      </c>
      <c r="X2048">
        <v>936</v>
      </c>
      <c r="Y2048">
        <v>0</v>
      </c>
      <c r="Z2048" s="5">
        <v>900</v>
      </c>
      <c r="AA2048" s="3">
        <v>177</v>
      </c>
      <c r="AB2048" s="5">
        <v>159300</v>
      </c>
      <c r="AC2048">
        <v>900</v>
      </c>
      <c r="AD2048">
        <v>177</v>
      </c>
      <c r="AE2048" s="1">
        <v>159300</v>
      </c>
      <c r="AF2048">
        <v>0</v>
      </c>
      <c r="AJ2048">
        <v>0</v>
      </c>
      <c r="AK2048">
        <v>0</v>
      </c>
      <c r="AL2048">
        <v>0</v>
      </c>
      <c r="AM2048">
        <v>0</v>
      </c>
      <c r="AN2048">
        <v>0</v>
      </c>
      <c r="AO2048">
        <v>0</v>
      </c>
      <c r="AP2048" s="2">
        <v>42831</v>
      </c>
      <c r="AQ2048" t="s">
        <v>72</v>
      </c>
      <c r="AR2048" t="s">
        <v>72</v>
      </c>
      <c r="AS2048">
        <v>405</v>
      </c>
      <c r="AT2048" s="4">
        <v>42776</v>
      </c>
      <c r="AU2048" t="s">
        <v>73</v>
      </c>
      <c r="AV2048">
        <v>405</v>
      </c>
      <c r="AW2048" s="4">
        <v>42776</v>
      </c>
      <c r="BD2048">
        <v>0</v>
      </c>
      <c r="BN2048" t="s">
        <v>74</v>
      </c>
    </row>
    <row r="2049" spans="1:66">
      <c r="A2049">
        <v>104592</v>
      </c>
      <c r="B2049" t="s">
        <v>415</v>
      </c>
      <c r="C2049" s="1">
        <v>43300101</v>
      </c>
      <c r="D2049" t="s">
        <v>67</v>
      </c>
      <c r="H2049" t="str">
        <f t="shared" si="261"/>
        <v>07931650589</v>
      </c>
      <c r="I2049" t="str">
        <f t="shared" si="262"/>
        <v>01911071007</v>
      </c>
      <c r="K2049" t="str">
        <f>""</f>
        <v/>
      </c>
      <c r="M2049" t="s">
        <v>68</v>
      </c>
      <c r="N2049" t="str">
        <f t="shared" si="263"/>
        <v>FOR</v>
      </c>
      <c r="O2049" t="s">
        <v>69</v>
      </c>
      <c r="P2049" t="s">
        <v>75</v>
      </c>
      <c r="Q2049">
        <v>2016</v>
      </c>
      <c r="R2049" s="4">
        <v>42536</v>
      </c>
      <c r="S2049" s="2">
        <v>42542</v>
      </c>
      <c r="T2049" s="2">
        <v>42541</v>
      </c>
      <c r="U2049" s="4">
        <v>42601</v>
      </c>
      <c r="V2049" t="s">
        <v>71</v>
      </c>
      <c r="W2049" t="str">
        <f>"          3607886 XU"</f>
        <v xml:space="preserve">          3607886 XU</v>
      </c>
      <c r="X2049" s="1">
        <v>6656</v>
      </c>
      <c r="Y2049">
        <v>0</v>
      </c>
      <c r="Z2049" s="5">
        <v>6400</v>
      </c>
      <c r="AA2049" s="3">
        <v>175</v>
      </c>
      <c r="AB2049" s="5">
        <v>1120000</v>
      </c>
      <c r="AC2049" s="1">
        <v>6400</v>
      </c>
      <c r="AD2049">
        <v>175</v>
      </c>
      <c r="AE2049" s="1">
        <v>1120000</v>
      </c>
      <c r="AF2049">
        <v>0</v>
      </c>
      <c r="AJ2049">
        <v>0</v>
      </c>
      <c r="AK2049">
        <v>0</v>
      </c>
      <c r="AL2049">
        <v>0</v>
      </c>
      <c r="AM2049">
        <v>0</v>
      </c>
      <c r="AN2049">
        <v>0</v>
      </c>
      <c r="AO2049">
        <v>0</v>
      </c>
      <c r="AP2049" s="2">
        <v>42831</v>
      </c>
      <c r="AQ2049" t="s">
        <v>72</v>
      </c>
      <c r="AR2049" t="s">
        <v>72</v>
      </c>
      <c r="AS2049">
        <v>405</v>
      </c>
      <c r="AT2049" s="4">
        <v>42776</v>
      </c>
      <c r="AU2049" t="s">
        <v>73</v>
      </c>
      <c r="AV2049">
        <v>405</v>
      </c>
      <c r="AW2049" s="4">
        <v>42776</v>
      </c>
      <c r="BD2049">
        <v>0</v>
      </c>
      <c r="BN2049" t="s">
        <v>74</v>
      </c>
    </row>
    <row r="2050" spans="1:66">
      <c r="A2050">
        <v>104592</v>
      </c>
      <c r="B2050" t="s">
        <v>415</v>
      </c>
      <c r="C2050" s="1">
        <v>43300101</v>
      </c>
      <c r="D2050" t="s">
        <v>67</v>
      </c>
      <c r="H2050" t="str">
        <f t="shared" si="261"/>
        <v>07931650589</v>
      </c>
      <c r="I2050" t="str">
        <f t="shared" si="262"/>
        <v>01911071007</v>
      </c>
      <c r="K2050" t="str">
        <f>""</f>
        <v/>
      </c>
      <c r="M2050" t="s">
        <v>68</v>
      </c>
      <c r="N2050" t="str">
        <f t="shared" si="263"/>
        <v>FOR</v>
      </c>
      <c r="O2050" t="s">
        <v>69</v>
      </c>
      <c r="P2050" t="s">
        <v>75</v>
      </c>
      <c r="Q2050">
        <v>2016</v>
      </c>
      <c r="R2050" s="4">
        <v>42542</v>
      </c>
      <c r="S2050" s="2">
        <v>42550</v>
      </c>
      <c r="T2050" s="2">
        <v>42546</v>
      </c>
      <c r="U2050" s="4">
        <v>42606</v>
      </c>
      <c r="V2050" t="s">
        <v>71</v>
      </c>
      <c r="W2050" t="str">
        <f>"          3608182 XU"</f>
        <v xml:space="preserve">          3608182 XU</v>
      </c>
      <c r="X2050" s="1">
        <v>2568.8000000000002</v>
      </c>
      <c r="Y2050">
        <v>0</v>
      </c>
      <c r="Z2050" s="5">
        <v>2470</v>
      </c>
      <c r="AA2050" s="3">
        <v>170</v>
      </c>
      <c r="AB2050" s="5">
        <v>419900</v>
      </c>
      <c r="AC2050" s="1">
        <v>2470</v>
      </c>
      <c r="AD2050">
        <v>170</v>
      </c>
      <c r="AE2050" s="1">
        <v>419900</v>
      </c>
      <c r="AF2050">
        <v>0</v>
      </c>
      <c r="AJ2050">
        <v>0</v>
      </c>
      <c r="AK2050">
        <v>0</v>
      </c>
      <c r="AL2050">
        <v>0</v>
      </c>
      <c r="AM2050">
        <v>0</v>
      </c>
      <c r="AN2050">
        <v>0</v>
      </c>
      <c r="AO2050">
        <v>0</v>
      </c>
      <c r="AP2050" s="2">
        <v>42831</v>
      </c>
      <c r="AQ2050" t="s">
        <v>72</v>
      </c>
      <c r="AR2050" t="s">
        <v>72</v>
      </c>
      <c r="AS2050">
        <v>405</v>
      </c>
      <c r="AT2050" s="4">
        <v>42776</v>
      </c>
      <c r="AU2050" t="s">
        <v>73</v>
      </c>
      <c r="AV2050">
        <v>405</v>
      </c>
      <c r="AW2050" s="4">
        <v>42776</v>
      </c>
      <c r="BD2050">
        <v>0</v>
      </c>
      <c r="BN2050" t="s">
        <v>74</v>
      </c>
    </row>
    <row r="2051" spans="1:66">
      <c r="A2051">
        <v>104592</v>
      </c>
      <c r="B2051" t="s">
        <v>415</v>
      </c>
      <c r="C2051" s="1">
        <v>43300101</v>
      </c>
      <c r="D2051" t="s">
        <v>67</v>
      </c>
      <c r="H2051" t="str">
        <f t="shared" si="261"/>
        <v>07931650589</v>
      </c>
      <c r="I2051" t="str">
        <f t="shared" si="262"/>
        <v>01911071007</v>
      </c>
      <c r="K2051" t="str">
        <f>""</f>
        <v/>
      </c>
      <c r="M2051" t="s">
        <v>68</v>
      </c>
      <c r="N2051" t="str">
        <f t="shared" si="263"/>
        <v>FOR</v>
      </c>
      <c r="O2051" t="s">
        <v>69</v>
      </c>
      <c r="P2051" t="s">
        <v>75</v>
      </c>
      <c r="Q2051">
        <v>2016</v>
      </c>
      <c r="R2051" s="4">
        <v>42559</v>
      </c>
      <c r="S2051" s="2">
        <v>42563</v>
      </c>
      <c r="T2051" s="2">
        <v>42563</v>
      </c>
      <c r="U2051" s="4">
        <v>42623</v>
      </c>
      <c r="V2051" t="s">
        <v>71</v>
      </c>
      <c r="W2051" t="str">
        <f>"          3609044 XU"</f>
        <v xml:space="preserve">          3609044 XU</v>
      </c>
      <c r="X2051" s="1">
        <v>1573.8</v>
      </c>
      <c r="Y2051">
        <v>0</v>
      </c>
      <c r="Z2051" s="5">
        <v>1290</v>
      </c>
      <c r="AA2051" s="3">
        <v>153</v>
      </c>
      <c r="AB2051" s="5">
        <v>197370</v>
      </c>
      <c r="AC2051" s="1">
        <v>1290</v>
      </c>
      <c r="AD2051">
        <v>153</v>
      </c>
      <c r="AE2051" s="1">
        <v>197370</v>
      </c>
      <c r="AF2051">
        <v>0</v>
      </c>
      <c r="AJ2051">
        <v>0</v>
      </c>
      <c r="AK2051">
        <v>0</v>
      </c>
      <c r="AL2051">
        <v>0</v>
      </c>
      <c r="AM2051">
        <v>0</v>
      </c>
      <c r="AN2051">
        <v>0</v>
      </c>
      <c r="AO2051">
        <v>0</v>
      </c>
      <c r="AP2051" s="2">
        <v>42831</v>
      </c>
      <c r="AQ2051" t="s">
        <v>72</v>
      </c>
      <c r="AR2051" t="s">
        <v>72</v>
      </c>
      <c r="AS2051">
        <v>405</v>
      </c>
      <c r="AT2051" s="4">
        <v>42776</v>
      </c>
      <c r="AU2051" t="s">
        <v>73</v>
      </c>
      <c r="AV2051">
        <v>405</v>
      </c>
      <c r="AW2051" s="4">
        <v>42776</v>
      </c>
      <c r="BD2051">
        <v>0</v>
      </c>
      <c r="BN2051" t="s">
        <v>74</v>
      </c>
    </row>
    <row r="2052" spans="1:66">
      <c r="A2052">
        <v>104592</v>
      </c>
      <c r="B2052" t="s">
        <v>415</v>
      </c>
      <c r="C2052" s="1">
        <v>43300101</v>
      </c>
      <c r="D2052" t="s">
        <v>67</v>
      </c>
      <c r="H2052" t="str">
        <f t="shared" si="261"/>
        <v>07931650589</v>
      </c>
      <c r="I2052" t="str">
        <f t="shared" si="262"/>
        <v>01911071007</v>
      </c>
      <c r="K2052" t="str">
        <f>""</f>
        <v/>
      </c>
      <c r="M2052" t="s">
        <v>68</v>
      </c>
      <c r="N2052" t="str">
        <f t="shared" si="263"/>
        <v>FOR</v>
      </c>
      <c r="O2052" t="s">
        <v>69</v>
      </c>
      <c r="P2052" t="s">
        <v>75</v>
      </c>
      <c r="Q2052">
        <v>2016</v>
      </c>
      <c r="R2052" s="4">
        <v>42565</v>
      </c>
      <c r="S2052" s="2">
        <v>42571</v>
      </c>
      <c r="T2052" s="2">
        <v>42570</v>
      </c>
      <c r="U2052" s="4">
        <v>42630</v>
      </c>
      <c r="V2052" t="s">
        <v>71</v>
      </c>
      <c r="W2052" t="str">
        <f>"          3609320 XU"</f>
        <v xml:space="preserve">          3609320 XU</v>
      </c>
      <c r="X2052" s="1">
        <v>5148</v>
      </c>
      <c r="Y2052">
        <v>0</v>
      </c>
      <c r="Z2052" s="5">
        <v>4950</v>
      </c>
      <c r="AA2052" s="3">
        <v>146</v>
      </c>
      <c r="AB2052" s="5">
        <v>722700</v>
      </c>
      <c r="AC2052" s="1">
        <v>4950</v>
      </c>
      <c r="AD2052">
        <v>146</v>
      </c>
      <c r="AE2052" s="1">
        <v>722700</v>
      </c>
      <c r="AF2052">
        <v>0</v>
      </c>
      <c r="AJ2052">
        <v>0</v>
      </c>
      <c r="AK2052">
        <v>0</v>
      </c>
      <c r="AL2052">
        <v>0</v>
      </c>
      <c r="AM2052">
        <v>0</v>
      </c>
      <c r="AN2052">
        <v>0</v>
      </c>
      <c r="AO2052">
        <v>0</v>
      </c>
      <c r="AP2052" s="2">
        <v>42831</v>
      </c>
      <c r="AQ2052" t="s">
        <v>72</v>
      </c>
      <c r="AR2052" t="s">
        <v>72</v>
      </c>
      <c r="AS2052">
        <v>405</v>
      </c>
      <c r="AT2052" s="4">
        <v>42776</v>
      </c>
      <c r="AU2052" t="s">
        <v>73</v>
      </c>
      <c r="AV2052">
        <v>405</v>
      </c>
      <c r="AW2052" s="4">
        <v>42776</v>
      </c>
      <c r="BD2052">
        <v>0</v>
      </c>
      <c r="BN2052" t="s">
        <v>74</v>
      </c>
    </row>
    <row r="2053" spans="1:66">
      <c r="A2053">
        <v>104592</v>
      </c>
      <c r="B2053" t="s">
        <v>415</v>
      </c>
      <c r="C2053" s="1">
        <v>43300101</v>
      </c>
      <c r="D2053" t="s">
        <v>67</v>
      </c>
      <c r="H2053" t="str">
        <f t="shared" si="261"/>
        <v>07931650589</v>
      </c>
      <c r="I2053" t="str">
        <f t="shared" si="262"/>
        <v>01911071007</v>
      </c>
      <c r="K2053" t="str">
        <f>""</f>
        <v/>
      </c>
      <c r="M2053" t="s">
        <v>68</v>
      </c>
      <c r="N2053" t="str">
        <f t="shared" si="263"/>
        <v>FOR</v>
      </c>
      <c r="O2053" t="s">
        <v>69</v>
      </c>
      <c r="P2053" t="s">
        <v>75</v>
      </c>
      <c r="Q2053">
        <v>2016</v>
      </c>
      <c r="R2053" s="4">
        <v>42580</v>
      </c>
      <c r="S2053" s="2">
        <v>42584</v>
      </c>
      <c r="T2053" s="2">
        <v>42584</v>
      </c>
      <c r="U2053" s="4">
        <v>42644</v>
      </c>
      <c r="V2053" t="s">
        <v>71</v>
      </c>
      <c r="W2053" t="str">
        <f>"          3610037 XU"</f>
        <v xml:space="preserve">          3610037 XU</v>
      </c>
      <c r="X2053">
        <v>262.3</v>
      </c>
      <c r="Y2053">
        <v>0</v>
      </c>
      <c r="Z2053" s="5">
        <v>215</v>
      </c>
      <c r="AA2053" s="3">
        <v>132</v>
      </c>
      <c r="AB2053" s="5">
        <v>28380</v>
      </c>
      <c r="AC2053">
        <v>215</v>
      </c>
      <c r="AD2053">
        <v>132</v>
      </c>
      <c r="AE2053" s="1">
        <v>28380</v>
      </c>
      <c r="AF2053">
        <v>0</v>
      </c>
      <c r="AJ2053">
        <v>0</v>
      </c>
      <c r="AK2053">
        <v>0</v>
      </c>
      <c r="AL2053">
        <v>0</v>
      </c>
      <c r="AM2053">
        <v>0</v>
      </c>
      <c r="AN2053">
        <v>0</v>
      </c>
      <c r="AO2053">
        <v>0</v>
      </c>
      <c r="AP2053" s="2">
        <v>42831</v>
      </c>
      <c r="AQ2053" t="s">
        <v>72</v>
      </c>
      <c r="AR2053" t="s">
        <v>72</v>
      </c>
      <c r="AS2053">
        <v>405</v>
      </c>
      <c r="AT2053" s="4">
        <v>42776</v>
      </c>
      <c r="AU2053" t="s">
        <v>73</v>
      </c>
      <c r="AV2053">
        <v>405</v>
      </c>
      <c r="AW2053" s="4">
        <v>42776</v>
      </c>
      <c r="BD2053">
        <v>0</v>
      </c>
      <c r="BN2053" t="s">
        <v>74</v>
      </c>
    </row>
    <row r="2054" spans="1:66">
      <c r="A2054">
        <v>104592</v>
      </c>
      <c r="B2054" t="s">
        <v>415</v>
      </c>
      <c r="C2054" s="1">
        <v>43300101</v>
      </c>
      <c r="D2054" t="s">
        <v>67</v>
      </c>
      <c r="H2054" t="str">
        <f t="shared" si="261"/>
        <v>07931650589</v>
      </c>
      <c r="I2054" t="str">
        <f t="shared" si="262"/>
        <v>01911071007</v>
      </c>
      <c r="K2054" t="str">
        <f>""</f>
        <v/>
      </c>
      <c r="M2054" t="s">
        <v>68</v>
      </c>
      <c r="N2054" t="str">
        <f t="shared" si="263"/>
        <v>FOR</v>
      </c>
      <c r="O2054" t="s">
        <v>69</v>
      </c>
      <c r="P2054" t="s">
        <v>75</v>
      </c>
      <c r="Q2054">
        <v>2016</v>
      </c>
      <c r="R2054" s="4">
        <v>42580</v>
      </c>
      <c r="S2054" s="2">
        <v>42584</v>
      </c>
      <c r="T2054" s="2">
        <v>42584</v>
      </c>
      <c r="U2054" s="4">
        <v>42644</v>
      </c>
      <c r="V2054" t="s">
        <v>71</v>
      </c>
      <c r="W2054" t="str">
        <f>"          3610038 XU"</f>
        <v xml:space="preserve">          3610038 XU</v>
      </c>
      <c r="X2054" s="1">
        <v>1573.8</v>
      </c>
      <c r="Y2054">
        <v>0</v>
      </c>
      <c r="Z2054" s="5">
        <v>1290</v>
      </c>
      <c r="AA2054" s="3">
        <v>132</v>
      </c>
      <c r="AB2054" s="5">
        <v>170280</v>
      </c>
      <c r="AC2054" s="1">
        <v>1290</v>
      </c>
      <c r="AD2054">
        <v>132</v>
      </c>
      <c r="AE2054" s="1">
        <v>170280</v>
      </c>
      <c r="AF2054">
        <v>0</v>
      </c>
      <c r="AJ2054">
        <v>0</v>
      </c>
      <c r="AK2054">
        <v>0</v>
      </c>
      <c r="AL2054">
        <v>0</v>
      </c>
      <c r="AM2054">
        <v>0</v>
      </c>
      <c r="AN2054">
        <v>0</v>
      </c>
      <c r="AO2054">
        <v>0</v>
      </c>
      <c r="AP2054" s="2">
        <v>42831</v>
      </c>
      <c r="AQ2054" t="s">
        <v>72</v>
      </c>
      <c r="AR2054" t="s">
        <v>72</v>
      </c>
      <c r="AS2054">
        <v>405</v>
      </c>
      <c r="AT2054" s="4">
        <v>42776</v>
      </c>
      <c r="AU2054" t="s">
        <v>73</v>
      </c>
      <c r="AV2054">
        <v>405</v>
      </c>
      <c r="AW2054" s="4">
        <v>42776</v>
      </c>
      <c r="BD2054">
        <v>0</v>
      </c>
      <c r="BN2054" t="s">
        <v>74</v>
      </c>
    </row>
    <row r="2055" spans="1:66">
      <c r="A2055">
        <v>104592</v>
      </c>
      <c r="B2055" t="s">
        <v>415</v>
      </c>
      <c r="C2055" s="1">
        <v>43300101</v>
      </c>
      <c r="D2055" t="s">
        <v>67</v>
      </c>
      <c r="H2055" t="str">
        <f t="shared" si="261"/>
        <v>07931650589</v>
      </c>
      <c r="I2055" t="str">
        <f t="shared" si="262"/>
        <v>01911071007</v>
      </c>
      <c r="K2055" t="str">
        <f>""</f>
        <v/>
      </c>
      <c r="M2055" t="s">
        <v>68</v>
      </c>
      <c r="N2055" t="str">
        <f t="shared" si="263"/>
        <v>FOR</v>
      </c>
      <c r="O2055" t="s">
        <v>69</v>
      </c>
      <c r="P2055" t="s">
        <v>75</v>
      </c>
      <c r="Q2055">
        <v>2016</v>
      </c>
      <c r="R2055" s="4">
        <v>42584</v>
      </c>
      <c r="S2055" s="2">
        <v>42591</v>
      </c>
      <c r="T2055" s="2">
        <v>42588</v>
      </c>
      <c r="U2055" s="4">
        <v>42648</v>
      </c>
      <c r="V2055" t="s">
        <v>71</v>
      </c>
      <c r="W2055" t="str">
        <f>"          3610136 XU"</f>
        <v xml:space="preserve">          3610136 XU</v>
      </c>
      <c r="X2055">
        <v>262.3</v>
      </c>
      <c r="Y2055">
        <v>0</v>
      </c>
      <c r="Z2055" s="5">
        <v>215</v>
      </c>
      <c r="AA2055" s="3">
        <v>145</v>
      </c>
      <c r="AB2055" s="5">
        <v>31175</v>
      </c>
      <c r="AC2055">
        <v>215</v>
      </c>
      <c r="AD2055">
        <v>145</v>
      </c>
      <c r="AE2055" s="1">
        <v>31175</v>
      </c>
      <c r="AF2055">
        <v>0</v>
      </c>
      <c r="AJ2055">
        <v>0</v>
      </c>
      <c r="AK2055">
        <v>0</v>
      </c>
      <c r="AL2055">
        <v>0</v>
      </c>
      <c r="AM2055">
        <v>0</v>
      </c>
      <c r="AN2055">
        <v>0</v>
      </c>
      <c r="AO2055">
        <v>0</v>
      </c>
      <c r="AP2055" s="2">
        <v>42831</v>
      </c>
      <c r="AQ2055" t="s">
        <v>72</v>
      </c>
      <c r="AR2055" t="s">
        <v>72</v>
      </c>
      <c r="AS2055">
        <v>619</v>
      </c>
      <c r="AT2055" s="4">
        <v>42793</v>
      </c>
      <c r="AU2055" t="s">
        <v>73</v>
      </c>
      <c r="AV2055">
        <v>619</v>
      </c>
      <c r="AW2055" s="4">
        <v>42793</v>
      </c>
      <c r="BD2055">
        <v>0</v>
      </c>
      <c r="BN2055" t="s">
        <v>74</v>
      </c>
    </row>
    <row r="2056" spans="1:66">
      <c r="A2056">
        <v>104592</v>
      </c>
      <c r="B2056" t="s">
        <v>415</v>
      </c>
      <c r="C2056" s="1">
        <v>43300101</v>
      </c>
      <c r="D2056" t="s">
        <v>67</v>
      </c>
      <c r="H2056" t="str">
        <f t="shared" si="261"/>
        <v>07931650589</v>
      </c>
      <c r="I2056" t="str">
        <f t="shared" si="262"/>
        <v>01911071007</v>
      </c>
      <c r="K2056" t="str">
        <f>""</f>
        <v/>
      </c>
      <c r="M2056" t="s">
        <v>68</v>
      </c>
      <c r="N2056" t="str">
        <f t="shared" si="263"/>
        <v>FOR</v>
      </c>
      <c r="O2056" t="s">
        <v>69</v>
      </c>
      <c r="P2056" t="s">
        <v>75</v>
      </c>
      <c r="Q2056">
        <v>2016</v>
      </c>
      <c r="R2056" s="4">
        <v>42592</v>
      </c>
      <c r="S2056" s="2">
        <v>42598</v>
      </c>
      <c r="T2056" s="2">
        <v>42597</v>
      </c>
      <c r="U2056" s="4">
        <v>42657</v>
      </c>
      <c r="V2056" t="s">
        <v>71</v>
      </c>
      <c r="W2056" t="str">
        <f>"          3610449 XU"</f>
        <v xml:space="preserve">          3610449 XU</v>
      </c>
      <c r="X2056">
        <v>936</v>
      </c>
      <c r="Y2056">
        <v>0</v>
      </c>
      <c r="Z2056" s="5">
        <v>900</v>
      </c>
      <c r="AA2056" s="3">
        <v>136</v>
      </c>
      <c r="AB2056" s="5">
        <v>122400</v>
      </c>
      <c r="AC2056">
        <v>900</v>
      </c>
      <c r="AD2056">
        <v>136</v>
      </c>
      <c r="AE2056" s="1">
        <v>122400</v>
      </c>
      <c r="AF2056">
        <v>0</v>
      </c>
      <c r="AJ2056">
        <v>0</v>
      </c>
      <c r="AK2056">
        <v>0</v>
      </c>
      <c r="AL2056">
        <v>0</v>
      </c>
      <c r="AM2056">
        <v>0</v>
      </c>
      <c r="AN2056">
        <v>0</v>
      </c>
      <c r="AO2056">
        <v>0</v>
      </c>
      <c r="AP2056" s="2">
        <v>42831</v>
      </c>
      <c r="AQ2056" t="s">
        <v>72</v>
      </c>
      <c r="AR2056" t="s">
        <v>72</v>
      </c>
      <c r="AS2056">
        <v>619</v>
      </c>
      <c r="AT2056" s="4">
        <v>42793</v>
      </c>
      <c r="AU2056" t="s">
        <v>73</v>
      </c>
      <c r="AV2056">
        <v>619</v>
      </c>
      <c r="AW2056" s="4">
        <v>42793</v>
      </c>
      <c r="BD2056">
        <v>0</v>
      </c>
      <c r="BN2056" t="s">
        <v>74</v>
      </c>
    </row>
    <row r="2057" spans="1:66">
      <c r="A2057">
        <v>104592</v>
      </c>
      <c r="B2057" t="s">
        <v>415</v>
      </c>
      <c r="C2057" s="1">
        <v>43300101</v>
      </c>
      <c r="D2057" t="s">
        <v>67</v>
      </c>
      <c r="H2057" t="str">
        <f t="shared" si="261"/>
        <v>07931650589</v>
      </c>
      <c r="I2057" t="str">
        <f t="shared" si="262"/>
        <v>01911071007</v>
      </c>
      <c r="K2057" t="str">
        <f>""</f>
        <v/>
      </c>
      <c r="M2057" t="s">
        <v>68</v>
      </c>
      <c r="N2057" t="str">
        <f t="shared" si="263"/>
        <v>FOR</v>
      </c>
      <c r="O2057" t="s">
        <v>69</v>
      </c>
      <c r="P2057" t="s">
        <v>75</v>
      </c>
      <c r="Q2057">
        <v>2016</v>
      </c>
      <c r="R2057" s="4">
        <v>42608</v>
      </c>
      <c r="S2057" s="2">
        <v>42612</v>
      </c>
      <c r="T2057" s="2">
        <v>42612</v>
      </c>
      <c r="U2057" s="4">
        <v>42672</v>
      </c>
      <c r="V2057" t="s">
        <v>71</v>
      </c>
      <c r="W2057" t="str">
        <f>"          3610960 XU"</f>
        <v xml:space="preserve">          3610960 XU</v>
      </c>
      <c r="X2057" s="1">
        <v>3328</v>
      </c>
      <c r="Y2057">
        <v>0</v>
      </c>
      <c r="Z2057" s="5">
        <v>3200</v>
      </c>
      <c r="AA2057" s="3">
        <v>121</v>
      </c>
      <c r="AB2057" s="5">
        <v>387200</v>
      </c>
      <c r="AC2057" s="1">
        <v>3200</v>
      </c>
      <c r="AD2057">
        <v>121</v>
      </c>
      <c r="AE2057" s="1">
        <v>387200</v>
      </c>
      <c r="AF2057">
        <v>0</v>
      </c>
      <c r="AJ2057">
        <v>0</v>
      </c>
      <c r="AK2057">
        <v>0</v>
      </c>
      <c r="AL2057">
        <v>0</v>
      </c>
      <c r="AM2057">
        <v>0</v>
      </c>
      <c r="AN2057">
        <v>0</v>
      </c>
      <c r="AO2057">
        <v>0</v>
      </c>
      <c r="AP2057" s="2">
        <v>42831</v>
      </c>
      <c r="AQ2057" t="s">
        <v>72</v>
      </c>
      <c r="AR2057" t="s">
        <v>72</v>
      </c>
      <c r="AS2057">
        <v>619</v>
      </c>
      <c r="AT2057" s="4">
        <v>42793</v>
      </c>
      <c r="AU2057" t="s">
        <v>73</v>
      </c>
      <c r="AV2057">
        <v>619</v>
      </c>
      <c r="AW2057" s="4">
        <v>42793</v>
      </c>
      <c r="BD2057">
        <v>0</v>
      </c>
      <c r="BN2057" t="s">
        <v>74</v>
      </c>
    </row>
    <row r="2058" spans="1:66">
      <c r="A2058">
        <v>104595</v>
      </c>
      <c r="B2058" t="s">
        <v>416</v>
      </c>
      <c r="C2058" s="1">
        <v>43300101</v>
      </c>
      <c r="D2058" t="s">
        <v>67</v>
      </c>
      <c r="H2058" t="str">
        <f>"01149250159"</f>
        <v>01149250159</v>
      </c>
      <c r="I2058" t="str">
        <f>"01149250159"</f>
        <v>01149250159</v>
      </c>
      <c r="K2058" t="str">
        <f>""</f>
        <v/>
      </c>
      <c r="M2058" t="s">
        <v>68</v>
      </c>
      <c r="N2058" t="str">
        <f t="shared" si="263"/>
        <v>FOR</v>
      </c>
      <c r="O2058" t="s">
        <v>69</v>
      </c>
      <c r="P2058" t="s">
        <v>75</v>
      </c>
      <c r="Q2058">
        <v>2016</v>
      </c>
      <c r="R2058" s="4">
        <v>42691</v>
      </c>
      <c r="S2058" s="2">
        <v>42696</v>
      </c>
      <c r="T2058" s="2">
        <v>42695</v>
      </c>
      <c r="U2058" s="4">
        <v>42755</v>
      </c>
      <c r="V2058" t="s">
        <v>71</v>
      </c>
      <c r="W2058" t="str">
        <f>"             V1-7848"</f>
        <v xml:space="preserve">             V1-7848</v>
      </c>
      <c r="X2058">
        <v>366</v>
      </c>
      <c r="Y2058">
        <v>0</v>
      </c>
      <c r="Z2058" s="5">
        <v>300</v>
      </c>
      <c r="AA2058" s="3">
        <v>13</v>
      </c>
      <c r="AB2058" s="5">
        <v>3900</v>
      </c>
      <c r="AC2058">
        <v>300</v>
      </c>
      <c r="AD2058">
        <v>13</v>
      </c>
      <c r="AE2058" s="1">
        <v>3900</v>
      </c>
      <c r="AF2058">
        <v>0</v>
      </c>
      <c r="AJ2058">
        <v>0</v>
      </c>
      <c r="AK2058">
        <v>0</v>
      </c>
      <c r="AL2058">
        <v>0</v>
      </c>
      <c r="AM2058">
        <v>0</v>
      </c>
      <c r="AN2058">
        <v>0</v>
      </c>
      <c r="AO2058">
        <v>0</v>
      </c>
      <c r="AP2058" s="2">
        <v>42831</v>
      </c>
      <c r="AQ2058" t="s">
        <v>72</v>
      </c>
      <c r="AR2058" t="s">
        <v>72</v>
      </c>
      <c r="AS2058">
        <v>288</v>
      </c>
      <c r="AT2058" s="4">
        <v>42768</v>
      </c>
      <c r="AU2058" t="s">
        <v>73</v>
      </c>
      <c r="AV2058">
        <v>288</v>
      </c>
      <c r="AW2058" s="4">
        <v>42768</v>
      </c>
      <c r="BD2058">
        <v>0</v>
      </c>
      <c r="BN2058" t="s">
        <v>74</v>
      </c>
    </row>
    <row r="2059" spans="1:66">
      <c r="A2059">
        <v>104601</v>
      </c>
      <c r="B2059" t="s">
        <v>417</v>
      </c>
      <c r="C2059" s="1">
        <v>43300101</v>
      </c>
      <c r="D2059" t="s">
        <v>67</v>
      </c>
      <c r="H2059" t="str">
        <f t="shared" ref="H2059:I2061" si="264">"05791560633"</f>
        <v>05791560633</v>
      </c>
      <c r="I2059" t="str">
        <f t="shared" si="264"/>
        <v>05791560633</v>
      </c>
      <c r="K2059" t="str">
        <f>""</f>
        <v/>
      </c>
      <c r="M2059" t="s">
        <v>68</v>
      </c>
      <c r="N2059" t="str">
        <f t="shared" si="263"/>
        <v>FOR</v>
      </c>
      <c r="O2059" t="s">
        <v>69</v>
      </c>
      <c r="P2059" t="s">
        <v>75</v>
      </c>
      <c r="Q2059">
        <v>2016</v>
      </c>
      <c r="R2059" s="4">
        <v>42704</v>
      </c>
      <c r="S2059" s="2">
        <v>42705</v>
      </c>
      <c r="T2059" s="2">
        <v>42704</v>
      </c>
      <c r="U2059" s="4">
        <v>42764</v>
      </c>
      <c r="V2059" t="s">
        <v>71</v>
      </c>
      <c r="W2059" t="str">
        <f>"             V2-1471"</f>
        <v xml:space="preserve">             V2-1471</v>
      </c>
      <c r="X2059">
        <v>237.9</v>
      </c>
      <c r="Y2059">
        <v>0</v>
      </c>
      <c r="Z2059" s="5">
        <v>195</v>
      </c>
      <c r="AA2059" s="3">
        <v>10</v>
      </c>
      <c r="AB2059" s="5">
        <v>1950</v>
      </c>
      <c r="AC2059">
        <v>195</v>
      </c>
      <c r="AD2059">
        <v>10</v>
      </c>
      <c r="AE2059" s="1">
        <v>1950</v>
      </c>
      <c r="AF2059">
        <v>0</v>
      </c>
      <c r="AJ2059">
        <v>0</v>
      </c>
      <c r="AK2059">
        <v>0</v>
      </c>
      <c r="AL2059">
        <v>0</v>
      </c>
      <c r="AM2059">
        <v>0</v>
      </c>
      <c r="AN2059">
        <v>0</v>
      </c>
      <c r="AO2059">
        <v>0</v>
      </c>
      <c r="AP2059" s="2">
        <v>42831</v>
      </c>
      <c r="AQ2059" t="s">
        <v>72</v>
      </c>
      <c r="AR2059" t="s">
        <v>72</v>
      </c>
      <c r="AS2059">
        <v>336</v>
      </c>
      <c r="AT2059" s="4">
        <v>42774</v>
      </c>
      <c r="AU2059" t="s">
        <v>73</v>
      </c>
      <c r="AV2059">
        <v>336</v>
      </c>
      <c r="AW2059" s="4">
        <v>42774</v>
      </c>
      <c r="BD2059">
        <v>0</v>
      </c>
      <c r="BN2059" t="s">
        <v>74</v>
      </c>
    </row>
    <row r="2060" spans="1:66">
      <c r="A2060">
        <v>104601</v>
      </c>
      <c r="B2060" t="s">
        <v>417</v>
      </c>
      <c r="C2060" s="1">
        <v>43300101</v>
      </c>
      <c r="D2060" t="s">
        <v>67</v>
      </c>
      <c r="H2060" t="str">
        <f t="shared" si="264"/>
        <v>05791560633</v>
      </c>
      <c r="I2060" t="str">
        <f t="shared" si="264"/>
        <v>05791560633</v>
      </c>
      <c r="K2060" t="str">
        <f>""</f>
        <v/>
      </c>
      <c r="M2060" t="s">
        <v>68</v>
      </c>
      <c r="N2060" t="str">
        <f t="shared" si="263"/>
        <v>FOR</v>
      </c>
      <c r="O2060" t="s">
        <v>69</v>
      </c>
      <c r="P2060" t="s">
        <v>75</v>
      </c>
      <c r="Q2060">
        <v>2016</v>
      </c>
      <c r="R2060" s="4">
        <v>42704</v>
      </c>
      <c r="S2060" s="2">
        <v>42711</v>
      </c>
      <c r="T2060" s="2">
        <v>42705</v>
      </c>
      <c r="U2060" s="4">
        <v>42765</v>
      </c>
      <c r="V2060" t="s">
        <v>71</v>
      </c>
      <c r="W2060" t="str">
        <f>"             V2-1484"</f>
        <v xml:space="preserve">             V2-1484</v>
      </c>
      <c r="X2060">
        <v>306.68</v>
      </c>
      <c r="Y2060">
        <v>0</v>
      </c>
      <c r="Z2060" s="5">
        <v>251.38</v>
      </c>
      <c r="AA2060" s="3">
        <v>9</v>
      </c>
      <c r="AB2060" s="5">
        <v>2262.42</v>
      </c>
      <c r="AC2060">
        <v>251.38</v>
      </c>
      <c r="AD2060">
        <v>9</v>
      </c>
      <c r="AE2060" s="1">
        <v>2262.42</v>
      </c>
      <c r="AF2060">
        <v>0</v>
      </c>
      <c r="AJ2060">
        <v>0</v>
      </c>
      <c r="AK2060">
        <v>0</v>
      </c>
      <c r="AL2060">
        <v>0</v>
      </c>
      <c r="AM2060">
        <v>0</v>
      </c>
      <c r="AN2060">
        <v>0</v>
      </c>
      <c r="AO2060">
        <v>0</v>
      </c>
      <c r="AP2060" s="2">
        <v>42831</v>
      </c>
      <c r="AQ2060" t="s">
        <v>72</v>
      </c>
      <c r="AR2060" t="s">
        <v>72</v>
      </c>
      <c r="AS2060">
        <v>336</v>
      </c>
      <c r="AT2060" s="4">
        <v>42774</v>
      </c>
      <c r="AU2060" t="s">
        <v>73</v>
      </c>
      <c r="AV2060">
        <v>336</v>
      </c>
      <c r="AW2060" s="4">
        <v>42774</v>
      </c>
      <c r="BD2060">
        <v>0</v>
      </c>
      <c r="BN2060" t="s">
        <v>74</v>
      </c>
    </row>
    <row r="2061" spans="1:66">
      <c r="A2061">
        <v>104601</v>
      </c>
      <c r="B2061" t="s">
        <v>417</v>
      </c>
      <c r="C2061" s="1">
        <v>43300101</v>
      </c>
      <c r="D2061" t="s">
        <v>67</v>
      </c>
      <c r="H2061" t="str">
        <f t="shared" si="264"/>
        <v>05791560633</v>
      </c>
      <c r="I2061" t="str">
        <f t="shared" si="264"/>
        <v>05791560633</v>
      </c>
      <c r="K2061" t="str">
        <f>""</f>
        <v/>
      </c>
      <c r="M2061" t="s">
        <v>68</v>
      </c>
      <c r="N2061" t="str">
        <f t="shared" si="263"/>
        <v>FOR</v>
      </c>
      <c r="O2061" t="s">
        <v>69</v>
      </c>
      <c r="P2061" t="s">
        <v>75</v>
      </c>
      <c r="Q2061">
        <v>2016</v>
      </c>
      <c r="R2061" s="4">
        <v>42705</v>
      </c>
      <c r="S2061" s="2">
        <v>42711</v>
      </c>
      <c r="T2061" s="2">
        <v>42706</v>
      </c>
      <c r="U2061" s="4">
        <v>42766</v>
      </c>
      <c r="V2061" t="s">
        <v>71</v>
      </c>
      <c r="W2061" t="str">
        <f>"             V2-1494"</f>
        <v xml:space="preserve">             V2-1494</v>
      </c>
      <c r="X2061">
        <v>987.59</v>
      </c>
      <c r="Y2061">
        <v>0</v>
      </c>
      <c r="Z2061" s="5">
        <v>809.5</v>
      </c>
      <c r="AA2061" s="3">
        <v>8</v>
      </c>
      <c r="AB2061" s="5">
        <v>6476</v>
      </c>
      <c r="AC2061">
        <v>809.5</v>
      </c>
      <c r="AD2061">
        <v>8</v>
      </c>
      <c r="AE2061" s="1">
        <v>6476</v>
      </c>
      <c r="AF2061">
        <v>0</v>
      </c>
      <c r="AJ2061">
        <v>0</v>
      </c>
      <c r="AK2061">
        <v>0</v>
      </c>
      <c r="AL2061">
        <v>0</v>
      </c>
      <c r="AM2061">
        <v>0</v>
      </c>
      <c r="AN2061">
        <v>0</v>
      </c>
      <c r="AO2061">
        <v>0</v>
      </c>
      <c r="AP2061" s="2">
        <v>42831</v>
      </c>
      <c r="AQ2061" t="s">
        <v>72</v>
      </c>
      <c r="AR2061" t="s">
        <v>72</v>
      </c>
      <c r="AS2061">
        <v>336</v>
      </c>
      <c r="AT2061" s="4">
        <v>42774</v>
      </c>
      <c r="AU2061" t="s">
        <v>73</v>
      </c>
      <c r="AV2061">
        <v>336</v>
      </c>
      <c r="AW2061" s="4">
        <v>42774</v>
      </c>
      <c r="BD2061">
        <v>0</v>
      </c>
      <c r="BN2061" t="s">
        <v>74</v>
      </c>
    </row>
    <row r="2062" spans="1:66">
      <c r="A2062">
        <v>104612</v>
      </c>
      <c r="B2062" t="s">
        <v>418</v>
      </c>
      <c r="C2062" s="1">
        <v>43500101</v>
      </c>
      <c r="D2062" t="s">
        <v>98</v>
      </c>
      <c r="H2062" t="str">
        <f>""</f>
        <v/>
      </c>
      <c r="I2062" t="str">
        <f>"02044190615"</f>
        <v>02044190615</v>
      </c>
      <c r="K2062" t="str">
        <f>""</f>
        <v/>
      </c>
      <c r="M2062" t="s">
        <v>68</v>
      </c>
      <c r="N2062" t="str">
        <f>"ALTEP"</f>
        <v>ALTEP</v>
      </c>
      <c r="O2062" t="s">
        <v>419</v>
      </c>
      <c r="P2062" t="s">
        <v>420</v>
      </c>
      <c r="Q2062">
        <v>2017</v>
      </c>
      <c r="R2062" s="4">
        <v>42787</v>
      </c>
      <c r="S2062" s="2">
        <v>42787</v>
      </c>
      <c r="T2062" s="2">
        <v>42787</v>
      </c>
      <c r="U2062" s="4">
        <v>42847</v>
      </c>
      <c r="V2062" t="s">
        <v>71</v>
      </c>
      <c r="W2062" t="str">
        <f>"                  29"</f>
        <v xml:space="preserve">                  29</v>
      </c>
      <c r="X2062">
        <v>0</v>
      </c>
      <c r="Y2062" s="1">
        <v>57821.31</v>
      </c>
      <c r="Z2062" s="5">
        <v>57821.31</v>
      </c>
      <c r="AA2062" s="3">
        <v>-59</v>
      </c>
      <c r="AB2062" s="5">
        <v>-3411457.29</v>
      </c>
      <c r="AC2062" s="1">
        <v>57821.31</v>
      </c>
      <c r="AD2062">
        <v>-59</v>
      </c>
      <c r="AE2062" s="1">
        <v>-3411457.29</v>
      </c>
      <c r="AF2062">
        <v>0</v>
      </c>
      <c r="AJ2062" s="1">
        <v>57821.31</v>
      </c>
      <c r="AK2062" s="1">
        <v>57821.31</v>
      </c>
      <c r="AL2062" s="1">
        <v>57821.31</v>
      </c>
      <c r="AM2062" s="1">
        <v>57821.31</v>
      </c>
      <c r="AN2062" s="1">
        <v>57821.31</v>
      </c>
      <c r="AO2062" s="1">
        <v>57821.31</v>
      </c>
      <c r="AP2062" s="2">
        <v>42831</v>
      </c>
      <c r="AQ2062" t="s">
        <v>72</v>
      </c>
      <c r="AR2062" t="s">
        <v>72</v>
      </c>
      <c r="AS2062">
        <v>580</v>
      </c>
      <c r="AT2062" s="4">
        <v>42788</v>
      </c>
      <c r="AV2062">
        <v>580</v>
      </c>
      <c r="AW2062" s="4">
        <v>42788</v>
      </c>
      <c r="BD2062">
        <v>0</v>
      </c>
      <c r="BN2062" t="s">
        <v>74</v>
      </c>
    </row>
    <row r="2063" spans="1:66">
      <c r="A2063">
        <v>104629</v>
      </c>
      <c r="B2063" t="s">
        <v>421</v>
      </c>
      <c r="C2063" s="1">
        <v>43201231</v>
      </c>
      <c r="D2063" t="s">
        <v>422</v>
      </c>
      <c r="H2063" t="str">
        <f>"92038610371"</f>
        <v>92038610371</v>
      </c>
      <c r="I2063" t="str">
        <f>"02553300373"</f>
        <v>02553300373</v>
      </c>
      <c r="K2063" t="str">
        <f>""</f>
        <v/>
      </c>
      <c r="M2063" t="s">
        <v>68</v>
      </c>
      <c r="N2063" t="str">
        <f>"AZI"</f>
        <v>AZI</v>
      </c>
      <c r="O2063" t="s">
        <v>423</v>
      </c>
      <c r="P2063" t="s">
        <v>75</v>
      </c>
      <c r="Q2063">
        <v>2016</v>
      </c>
      <c r="R2063" s="4">
        <v>42508</v>
      </c>
      <c r="S2063" s="2">
        <v>42514</v>
      </c>
      <c r="T2063" s="2">
        <v>42513</v>
      </c>
      <c r="U2063" s="4">
        <v>42573</v>
      </c>
      <c r="V2063" t="s">
        <v>71</v>
      </c>
      <c r="W2063" t="str">
        <f>"              1155/2"</f>
        <v xml:space="preserve">              1155/2</v>
      </c>
      <c r="X2063" s="1">
        <v>4314.25</v>
      </c>
      <c r="Y2063">
        <v>0</v>
      </c>
      <c r="Z2063" s="5">
        <v>4314.25</v>
      </c>
      <c r="AA2063" s="3">
        <v>195</v>
      </c>
      <c r="AB2063" s="5">
        <v>841278.75</v>
      </c>
      <c r="AC2063" s="1">
        <v>4314.25</v>
      </c>
      <c r="AD2063">
        <v>195</v>
      </c>
      <c r="AE2063" s="1">
        <v>841278.75</v>
      </c>
      <c r="AF2063">
        <v>0</v>
      </c>
      <c r="AJ2063">
        <v>0</v>
      </c>
      <c r="AK2063">
        <v>0</v>
      </c>
      <c r="AL2063">
        <v>0</v>
      </c>
      <c r="AM2063">
        <v>0</v>
      </c>
      <c r="AN2063">
        <v>0</v>
      </c>
      <c r="AO2063">
        <v>0</v>
      </c>
      <c r="AP2063" s="2">
        <v>42831</v>
      </c>
      <c r="AQ2063" t="s">
        <v>72</v>
      </c>
      <c r="AR2063" t="s">
        <v>72</v>
      </c>
      <c r="AS2063">
        <v>238</v>
      </c>
      <c r="AT2063" s="4">
        <v>42768</v>
      </c>
      <c r="AU2063" t="s">
        <v>73</v>
      </c>
      <c r="AV2063">
        <v>238</v>
      </c>
      <c r="AW2063" s="4">
        <v>42768</v>
      </c>
      <c r="BD2063">
        <v>0</v>
      </c>
      <c r="BN2063" t="s">
        <v>74</v>
      </c>
    </row>
    <row r="2064" spans="1:66">
      <c r="A2064">
        <v>104647</v>
      </c>
      <c r="B2064" t="s">
        <v>424</v>
      </c>
      <c r="C2064" s="1">
        <v>43300101</v>
      </c>
      <c r="D2064" t="s">
        <v>67</v>
      </c>
      <c r="H2064" t="str">
        <f t="shared" ref="H2064:I2066" si="265">"03531280968"</f>
        <v>03531280968</v>
      </c>
      <c r="I2064" t="str">
        <f t="shared" si="265"/>
        <v>03531280968</v>
      </c>
      <c r="K2064" t="str">
        <f>""</f>
        <v/>
      </c>
      <c r="M2064" t="s">
        <v>68</v>
      </c>
      <c r="N2064" t="str">
        <f t="shared" ref="N2064:N2089" si="266">"FOR"</f>
        <v>FOR</v>
      </c>
      <c r="O2064" t="s">
        <v>69</v>
      </c>
      <c r="P2064" t="s">
        <v>75</v>
      </c>
      <c r="Q2064">
        <v>2016</v>
      </c>
      <c r="R2064" s="4">
        <v>42662</v>
      </c>
      <c r="S2064" s="2">
        <v>42676</v>
      </c>
      <c r="T2064" s="2">
        <v>42671</v>
      </c>
      <c r="U2064" s="4">
        <v>42731</v>
      </c>
      <c r="V2064" t="s">
        <v>71</v>
      </c>
      <c r="W2064" t="str">
        <f>"          8262002104"</f>
        <v xml:space="preserve">          8262002104</v>
      </c>
      <c r="X2064">
        <v>72.739999999999995</v>
      </c>
      <c r="Y2064">
        <v>0</v>
      </c>
      <c r="Z2064" s="5">
        <v>66.14</v>
      </c>
      <c r="AA2064" s="3">
        <v>37</v>
      </c>
      <c r="AB2064" s="5">
        <v>2447.1799999999998</v>
      </c>
      <c r="AC2064">
        <v>66.14</v>
      </c>
      <c r="AD2064">
        <v>37</v>
      </c>
      <c r="AE2064" s="1">
        <v>2447.1799999999998</v>
      </c>
      <c r="AF2064">
        <v>0</v>
      </c>
      <c r="AJ2064">
        <v>0</v>
      </c>
      <c r="AK2064">
        <v>0</v>
      </c>
      <c r="AL2064">
        <v>0</v>
      </c>
      <c r="AM2064">
        <v>0</v>
      </c>
      <c r="AN2064">
        <v>0</v>
      </c>
      <c r="AO2064">
        <v>0</v>
      </c>
      <c r="AP2064" s="2">
        <v>42831</v>
      </c>
      <c r="AQ2064" t="s">
        <v>72</v>
      </c>
      <c r="AR2064" t="s">
        <v>72</v>
      </c>
      <c r="AS2064">
        <v>290</v>
      </c>
      <c r="AT2064" s="4">
        <v>42768</v>
      </c>
      <c r="AU2064" t="s">
        <v>73</v>
      </c>
      <c r="AV2064">
        <v>290</v>
      </c>
      <c r="AW2064" s="4">
        <v>42768</v>
      </c>
      <c r="BD2064">
        <v>0</v>
      </c>
      <c r="BN2064" t="s">
        <v>74</v>
      </c>
    </row>
    <row r="2065" spans="1:66">
      <c r="A2065">
        <v>104647</v>
      </c>
      <c r="B2065" t="s">
        <v>424</v>
      </c>
      <c r="C2065" s="1">
        <v>43300101</v>
      </c>
      <c r="D2065" t="s">
        <v>67</v>
      </c>
      <c r="H2065" t="str">
        <f t="shared" si="265"/>
        <v>03531280968</v>
      </c>
      <c r="I2065" t="str">
        <f t="shared" si="265"/>
        <v>03531280968</v>
      </c>
      <c r="K2065" t="str">
        <f>""</f>
        <v/>
      </c>
      <c r="M2065" t="s">
        <v>68</v>
      </c>
      <c r="N2065" t="str">
        <f t="shared" si="266"/>
        <v>FOR</v>
      </c>
      <c r="O2065" t="s">
        <v>69</v>
      </c>
      <c r="P2065" t="s">
        <v>75</v>
      </c>
      <c r="Q2065">
        <v>2016</v>
      </c>
      <c r="R2065" s="4">
        <v>42731</v>
      </c>
      <c r="S2065" s="2">
        <v>42735</v>
      </c>
      <c r="T2065" s="2">
        <v>42733</v>
      </c>
      <c r="U2065" s="4">
        <v>42793</v>
      </c>
      <c r="V2065" t="s">
        <v>71</v>
      </c>
      <c r="W2065" t="str">
        <f>"          8262014696"</f>
        <v xml:space="preserve">          8262014696</v>
      </c>
      <c r="X2065">
        <v>218.26</v>
      </c>
      <c r="Y2065">
        <v>0</v>
      </c>
      <c r="Z2065" s="5">
        <v>198.42</v>
      </c>
      <c r="AA2065" s="3">
        <v>-25</v>
      </c>
      <c r="AB2065" s="5">
        <v>-4960.5</v>
      </c>
      <c r="AC2065">
        <v>198.42</v>
      </c>
      <c r="AD2065">
        <v>-25</v>
      </c>
      <c r="AE2065" s="1">
        <v>-4960.5</v>
      </c>
      <c r="AF2065">
        <v>0</v>
      </c>
      <c r="AJ2065">
        <v>0</v>
      </c>
      <c r="AK2065">
        <v>0</v>
      </c>
      <c r="AL2065">
        <v>0</v>
      </c>
      <c r="AM2065">
        <v>0</v>
      </c>
      <c r="AN2065">
        <v>0</v>
      </c>
      <c r="AO2065">
        <v>0</v>
      </c>
      <c r="AP2065" s="2">
        <v>42831</v>
      </c>
      <c r="AQ2065" t="s">
        <v>72</v>
      </c>
      <c r="AR2065" t="s">
        <v>72</v>
      </c>
      <c r="AS2065">
        <v>290</v>
      </c>
      <c r="AT2065" s="4">
        <v>42768</v>
      </c>
      <c r="AV2065">
        <v>290</v>
      </c>
      <c r="AW2065" s="4">
        <v>42768</v>
      </c>
      <c r="BD2065">
        <v>0</v>
      </c>
      <c r="BN2065" t="s">
        <v>74</v>
      </c>
    </row>
    <row r="2066" spans="1:66">
      <c r="A2066">
        <v>104647</v>
      </c>
      <c r="B2066" t="s">
        <v>424</v>
      </c>
      <c r="C2066" s="1">
        <v>43300101</v>
      </c>
      <c r="D2066" t="s">
        <v>67</v>
      </c>
      <c r="H2066" t="str">
        <f t="shared" si="265"/>
        <v>03531280968</v>
      </c>
      <c r="I2066" t="str">
        <f t="shared" si="265"/>
        <v>03531280968</v>
      </c>
      <c r="K2066" t="str">
        <f>""</f>
        <v/>
      </c>
      <c r="M2066" t="s">
        <v>68</v>
      </c>
      <c r="N2066" t="str">
        <f t="shared" si="266"/>
        <v>FOR</v>
      </c>
      <c r="O2066" t="s">
        <v>69</v>
      </c>
      <c r="P2066" t="s">
        <v>75</v>
      </c>
      <c r="Q2066">
        <v>2016</v>
      </c>
      <c r="R2066" s="4">
        <v>42622</v>
      </c>
      <c r="S2066" s="2">
        <v>42634</v>
      </c>
      <c r="T2066" s="2">
        <v>42629</v>
      </c>
      <c r="U2066" s="4">
        <v>42689</v>
      </c>
      <c r="V2066" t="s">
        <v>71</v>
      </c>
      <c r="W2066" t="str">
        <f>"         RH/16001344"</f>
        <v xml:space="preserve">         RH/16001344</v>
      </c>
      <c r="X2066">
        <v>99.04</v>
      </c>
      <c r="Y2066">
        <v>0</v>
      </c>
      <c r="Z2066" s="5">
        <v>90.04</v>
      </c>
      <c r="AA2066" s="3">
        <v>79</v>
      </c>
      <c r="AB2066" s="5">
        <v>7113.16</v>
      </c>
      <c r="AC2066">
        <v>90.04</v>
      </c>
      <c r="AD2066">
        <v>79</v>
      </c>
      <c r="AE2066" s="1">
        <v>7113.16</v>
      </c>
      <c r="AF2066">
        <v>0</v>
      </c>
      <c r="AJ2066">
        <v>0</v>
      </c>
      <c r="AK2066">
        <v>0</v>
      </c>
      <c r="AL2066">
        <v>0</v>
      </c>
      <c r="AM2066">
        <v>0</v>
      </c>
      <c r="AN2066">
        <v>0</v>
      </c>
      <c r="AO2066">
        <v>0</v>
      </c>
      <c r="AP2066" s="2">
        <v>42831</v>
      </c>
      <c r="AQ2066" t="s">
        <v>72</v>
      </c>
      <c r="AR2066" t="s">
        <v>72</v>
      </c>
      <c r="AS2066">
        <v>290</v>
      </c>
      <c r="AT2066" s="4">
        <v>42768</v>
      </c>
      <c r="AU2066" t="s">
        <v>73</v>
      </c>
      <c r="AV2066">
        <v>290</v>
      </c>
      <c r="AW2066" s="4">
        <v>42768</v>
      </c>
      <c r="BD2066">
        <v>0</v>
      </c>
      <c r="BN2066" t="s">
        <v>74</v>
      </c>
    </row>
    <row r="2067" spans="1:66">
      <c r="A2067">
        <v>104648</v>
      </c>
      <c r="B2067" t="s">
        <v>425</v>
      </c>
      <c r="C2067" s="1">
        <v>43300101</v>
      </c>
      <c r="D2067" t="s">
        <v>67</v>
      </c>
      <c r="H2067" t="str">
        <f>"02292260599"</f>
        <v>02292260599</v>
      </c>
      <c r="I2067" t="str">
        <f>"02292260599"</f>
        <v>02292260599</v>
      </c>
      <c r="K2067" t="str">
        <f>""</f>
        <v/>
      </c>
      <c r="M2067" t="s">
        <v>68</v>
      </c>
      <c r="N2067" t="str">
        <f t="shared" si="266"/>
        <v>FOR</v>
      </c>
      <c r="O2067" t="s">
        <v>69</v>
      </c>
      <c r="P2067" t="s">
        <v>75</v>
      </c>
      <c r="Q2067">
        <v>2016</v>
      </c>
      <c r="R2067" s="4">
        <v>42691</v>
      </c>
      <c r="S2067" s="2">
        <v>42697</v>
      </c>
      <c r="T2067" s="2">
        <v>42692</v>
      </c>
      <c r="U2067" s="4">
        <v>42752</v>
      </c>
      <c r="V2067" t="s">
        <v>71</v>
      </c>
      <c r="W2067" t="str">
        <f>"          0620812542"</f>
        <v xml:space="preserve">          0620812542</v>
      </c>
      <c r="X2067" s="1">
        <v>3542</v>
      </c>
      <c r="Y2067">
        <v>0</v>
      </c>
      <c r="Z2067" s="5">
        <v>3220</v>
      </c>
      <c r="AA2067" s="3">
        <v>16</v>
      </c>
      <c r="AB2067" s="5">
        <v>51520</v>
      </c>
      <c r="AC2067" s="1">
        <v>3220</v>
      </c>
      <c r="AD2067">
        <v>16</v>
      </c>
      <c r="AE2067" s="1">
        <v>51520</v>
      </c>
      <c r="AF2067">
        <v>0</v>
      </c>
      <c r="AJ2067">
        <v>0</v>
      </c>
      <c r="AK2067">
        <v>0</v>
      </c>
      <c r="AL2067">
        <v>0</v>
      </c>
      <c r="AM2067">
        <v>0</v>
      </c>
      <c r="AN2067">
        <v>0</v>
      </c>
      <c r="AO2067">
        <v>0</v>
      </c>
      <c r="AP2067" s="2">
        <v>42831</v>
      </c>
      <c r="AQ2067" t="s">
        <v>72</v>
      </c>
      <c r="AR2067" t="s">
        <v>72</v>
      </c>
      <c r="AS2067">
        <v>257</v>
      </c>
      <c r="AT2067" s="4">
        <v>42768</v>
      </c>
      <c r="AU2067" t="s">
        <v>73</v>
      </c>
      <c r="AV2067">
        <v>257</v>
      </c>
      <c r="AW2067" s="4">
        <v>42768</v>
      </c>
      <c r="BD2067">
        <v>0</v>
      </c>
      <c r="BN2067" t="s">
        <v>74</v>
      </c>
    </row>
    <row r="2068" spans="1:66">
      <c r="A2068">
        <v>104648</v>
      </c>
      <c r="B2068" t="s">
        <v>425</v>
      </c>
      <c r="C2068" s="1">
        <v>43300101</v>
      </c>
      <c r="D2068" t="s">
        <v>67</v>
      </c>
      <c r="H2068" t="str">
        <f>"02292260599"</f>
        <v>02292260599</v>
      </c>
      <c r="I2068" t="str">
        <f>"02292260599"</f>
        <v>02292260599</v>
      </c>
      <c r="K2068" t="str">
        <f>""</f>
        <v/>
      </c>
      <c r="M2068" t="s">
        <v>68</v>
      </c>
      <c r="N2068" t="str">
        <f t="shared" si="266"/>
        <v>FOR</v>
      </c>
      <c r="O2068" t="s">
        <v>69</v>
      </c>
      <c r="P2068" t="s">
        <v>75</v>
      </c>
      <c r="Q2068">
        <v>2016</v>
      </c>
      <c r="R2068" s="4">
        <v>42695</v>
      </c>
      <c r="S2068" s="2">
        <v>42697</v>
      </c>
      <c r="T2068" s="2">
        <v>42695</v>
      </c>
      <c r="U2068" s="4">
        <v>42755</v>
      </c>
      <c r="V2068" t="s">
        <v>71</v>
      </c>
      <c r="W2068" t="str">
        <f>"          0620812928"</f>
        <v xml:space="preserve">          0620812928</v>
      </c>
      <c r="X2068">
        <v>660</v>
      </c>
      <c r="Y2068">
        <v>0</v>
      </c>
      <c r="Z2068" s="5">
        <v>600</v>
      </c>
      <c r="AA2068" s="3">
        <v>13</v>
      </c>
      <c r="AB2068" s="5">
        <v>7800</v>
      </c>
      <c r="AC2068">
        <v>600</v>
      </c>
      <c r="AD2068">
        <v>13</v>
      </c>
      <c r="AE2068" s="1">
        <v>7800</v>
      </c>
      <c r="AF2068">
        <v>0</v>
      </c>
      <c r="AJ2068">
        <v>0</v>
      </c>
      <c r="AK2068">
        <v>0</v>
      </c>
      <c r="AL2068">
        <v>0</v>
      </c>
      <c r="AM2068">
        <v>0</v>
      </c>
      <c r="AN2068">
        <v>0</v>
      </c>
      <c r="AO2068">
        <v>0</v>
      </c>
      <c r="AP2068" s="2">
        <v>42831</v>
      </c>
      <c r="AQ2068" t="s">
        <v>72</v>
      </c>
      <c r="AR2068" t="s">
        <v>72</v>
      </c>
      <c r="AS2068">
        <v>257</v>
      </c>
      <c r="AT2068" s="4">
        <v>42768</v>
      </c>
      <c r="AU2068" t="s">
        <v>73</v>
      </c>
      <c r="AV2068">
        <v>257</v>
      </c>
      <c r="AW2068" s="4">
        <v>42768</v>
      </c>
      <c r="BD2068">
        <v>0</v>
      </c>
      <c r="BN2068" t="s">
        <v>74</v>
      </c>
    </row>
    <row r="2069" spans="1:66">
      <c r="A2069">
        <v>104660</v>
      </c>
      <c r="B2069" t="s">
        <v>426</v>
      </c>
      <c r="C2069" s="1">
        <v>43300101</v>
      </c>
      <c r="D2069" t="s">
        <v>67</v>
      </c>
      <c r="H2069" t="str">
        <f t="shared" ref="H2069:I2089" si="267">"06141111002"</f>
        <v>06141111002</v>
      </c>
      <c r="I2069" t="str">
        <f t="shared" si="267"/>
        <v>06141111002</v>
      </c>
      <c r="K2069" t="str">
        <f>""</f>
        <v/>
      </c>
      <c r="M2069" t="s">
        <v>68</v>
      </c>
      <c r="N2069" t="str">
        <f t="shared" si="266"/>
        <v>FOR</v>
      </c>
      <c r="O2069" t="s">
        <v>69</v>
      </c>
      <c r="P2069" t="s">
        <v>75</v>
      </c>
      <c r="Q2069">
        <v>2016</v>
      </c>
      <c r="R2069" s="4">
        <v>42460</v>
      </c>
      <c r="S2069" s="2">
        <v>42472</v>
      </c>
      <c r="T2069" s="2">
        <v>42472</v>
      </c>
      <c r="U2069" s="4">
        <v>42532</v>
      </c>
      <c r="V2069" t="s">
        <v>71</v>
      </c>
      <c r="W2069" t="str">
        <f>"               7/322"</f>
        <v xml:space="preserve">               7/322</v>
      </c>
      <c r="X2069">
        <v>832</v>
      </c>
      <c r="Y2069">
        <v>0</v>
      </c>
      <c r="Z2069" s="5">
        <v>800</v>
      </c>
      <c r="AA2069" s="3">
        <v>236</v>
      </c>
      <c r="AB2069" s="5">
        <v>188800</v>
      </c>
      <c r="AC2069">
        <v>800</v>
      </c>
      <c r="AD2069">
        <v>236</v>
      </c>
      <c r="AE2069" s="1">
        <v>188800</v>
      </c>
      <c r="AF2069">
        <v>0</v>
      </c>
      <c r="AJ2069">
        <v>0</v>
      </c>
      <c r="AK2069">
        <v>0</v>
      </c>
      <c r="AL2069">
        <v>0</v>
      </c>
      <c r="AM2069">
        <v>0</v>
      </c>
      <c r="AN2069">
        <v>0</v>
      </c>
      <c r="AO2069">
        <v>0</v>
      </c>
      <c r="AP2069" s="2">
        <v>42831</v>
      </c>
      <c r="AQ2069" t="s">
        <v>72</v>
      </c>
      <c r="AR2069" t="s">
        <v>72</v>
      </c>
      <c r="AS2069">
        <v>213</v>
      </c>
      <c r="AT2069" s="4">
        <v>42768</v>
      </c>
      <c r="AU2069" t="s">
        <v>73</v>
      </c>
      <c r="AV2069">
        <v>213</v>
      </c>
      <c r="AW2069" s="4">
        <v>42768</v>
      </c>
      <c r="BD2069">
        <v>0</v>
      </c>
      <c r="BN2069" t="s">
        <v>74</v>
      </c>
    </row>
    <row r="2070" spans="1:66">
      <c r="A2070">
        <v>104660</v>
      </c>
      <c r="B2070" t="s">
        <v>426</v>
      </c>
      <c r="C2070" s="1">
        <v>43300101</v>
      </c>
      <c r="D2070" t="s">
        <v>67</v>
      </c>
      <c r="H2070" t="str">
        <f t="shared" si="267"/>
        <v>06141111002</v>
      </c>
      <c r="I2070" t="str">
        <f t="shared" si="267"/>
        <v>06141111002</v>
      </c>
      <c r="K2070" t="str">
        <f>""</f>
        <v/>
      </c>
      <c r="M2070" t="s">
        <v>68</v>
      </c>
      <c r="N2070" t="str">
        <f t="shared" si="266"/>
        <v>FOR</v>
      </c>
      <c r="O2070" t="s">
        <v>69</v>
      </c>
      <c r="P2070" t="s">
        <v>75</v>
      </c>
      <c r="Q2070">
        <v>2016</v>
      </c>
      <c r="R2070" s="4">
        <v>42460</v>
      </c>
      <c r="S2070" s="2">
        <v>42472</v>
      </c>
      <c r="T2070" s="2">
        <v>42472</v>
      </c>
      <c r="U2070" s="4">
        <v>42532</v>
      </c>
      <c r="V2070" t="s">
        <v>71</v>
      </c>
      <c r="W2070" t="str">
        <f>"               7/323"</f>
        <v xml:space="preserve">               7/323</v>
      </c>
      <c r="X2070">
        <v>832</v>
      </c>
      <c r="Y2070">
        <v>0</v>
      </c>
      <c r="Z2070" s="5">
        <v>800</v>
      </c>
      <c r="AA2070" s="3">
        <v>236</v>
      </c>
      <c r="AB2070" s="5">
        <v>188800</v>
      </c>
      <c r="AC2070">
        <v>800</v>
      </c>
      <c r="AD2070">
        <v>236</v>
      </c>
      <c r="AE2070" s="1">
        <v>188800</v>
      </c>
      <c r="AF2070">
        <v>0</v>
      </c>
      <c r="AJ2070">
        <v>0</v>
      </c>
      <c r="AK2070">
        <v>0</v>
      </c>
      <c r="AL2070">
        <v>0</v>
      </c>
      <c r="AM2070">
        <v>0</v>
      </c>
      <c r="AN2070">
        <v>0</v>
      </c>
      <c r="AO2070">
        <v>0</v>
      </c>
      <c r="AP2070" s="2">
        <v>42831</v>
      </c>
      <c r="AQ2070" t="s">
        <v>72</v>
      </c>
      <c r="AR2070" t="s">
        <v>72</v>
      </c>
      <c r="AS2070">
        <v>213</v>
      </c>
      <c r="AT2070" s="4">
        <v>42768</v>
      </c>
      <c r="AU2070" t="s">
        <v>73</v>
      </c>
      <c r="AV2070">
        <v>213</v>
      </c>
      <c r="AW2070" s="4">
        <v>42768</v>
      </c>
      <c r="BD2070">
        <v>0</v>
      </c>
      <c r="BN2070" t="s">
        <v>74</v>
      </c>
    </row>
    <row r="2071" spans="1:66">
      <c r="A2071">
        <v>104660</v>
      </c>
      <c r="B2071" t="s">
        <v>426</v>
      </c>
      <c r="C2071" s="1">
        <v>43300101</v>
      </c>
      <c r="D2071" t="s">
        <v>67</v>
      </c>
      <c r="H2071" t="str">
        <f t="shared" si="267"/>
        <v>06141111002</v>
      </c>
      <c r="I2071" t="str">
        <f t="shared" si="267"/>
        <v>06141111002</v>
      </c>
      <c r="K2071" t="str">
        <f>""</f>
        <v/>
      </c>
      <c r="M2071" t="s">
        <v>68</v>
      </c>
      <c r="N2071" t="str">
        <f t="shared" si="266"/>
        <v>FOR</v>
      </c>
      <c r="O2071" t="s">
        <v>69</v>
      </c>
      <c r="P2071" t="s">
        <v>75</v>
      </c>
      <c r="Q2071">
        <v>2016</v>
      </c>
      <c r="R2071" s="4">
        <v>42460</v>
      </c>
      <c r="S2071" s="2">
        <v>42472</v>
      </c>
      <c r="T2071" s="2">
        <v>42472</v>
      </c>
      <c r="U2071" s="4">
        <v>42532</v>
      </c>
      <c r="V2071" t="s">
        <v>71</v>
      </c>
      <c r="W2071" t="str">
        <f>"               7/324"</f>
        <v xml:space="preserve">               7/324</v>
      </c>
      <c r="X2071">
        <v>832</v>
      </c>
      <c r="Y2071">
        <v>0</v>
      </c>
      <c r="Z2071" s="5">
        <v>800</v>
      </c>
      <c r="AA2071" s="3">
        <v>236</v>
      </c>
      <c r="AB2071" s="5">
        <v>188800</v>
      </c>
      <c r="AC2071">
        <v>800</v>
      </c>
      <c r="AD2071">
        <v>236</v>
      </c>
      <c r="AE2071" s="1">
        <v>188800</v>
      </c>
      <c r="AF2071">
        <v>0</v>
      </c>
      <c r="AJ2071">
        <v>0</v>
      </c>
      <c r="AK2071">
        <v>0</v>
      </c>
      <c r="AL2071">
        <v>0</v>
      </c>
      <c r="AM2071">
        <v>0</v>
      </c>
      <c r="AN2071">
        <v>0</v>
      </c>
      <c r="AO2071">
        <v>0</v>
      </c>
      <c r="AP2071" s="2">
        <v>42831</v>
      </c>
      <c r="AQ2071" t="s">
        <v>72</v>
      </c>
      <c r="AR2071" t="s">
        <v>72</v>
      </c>
      <c r="AS2071">
        <v>213</v>
      </c>
      <c r="AT2071" s="4">
        <v>42768</v>
      </c>
      <c r="AU2071" t="s">
        <v>73</v>
      </c>
      <c r="AV2071">
        <v>213</v>
      </c>
      <c r="AW2071" s="4">
        <v>42768</v>
      </c>
      <c r="BD2071">
        <v>0</v>
      </c>
      <c r="BN2071" t="s">
        <v>74</v>
      </c>
    </row>
    <row r="2072" spans="1:66">
      <c r="A2072">
        <v>104660</v>
      </c>
      <c r="B2072" t="s">
        <v>426</v>
      </c>
      <c r="C2072" s="1">
        <v>43300101</v>
      </c>
      <c r="D2072" t="s">
        <v>67</v>
      </c>
      <c r="H2072" t="str">
        <f t="shared" si="267"/>
        <v>06141111002</v>
      </c>
      <c r="I2072" t="str">
        <f t="shared" si="267"/>
        <v>06141111002</v>
      </c>
      <c r="K2072" t="str">
        <f>""</f>
        <v/>
      </c>
      <c r="M2072" t="s">
        <v>68</v>
      </c>
      <c r="N2072" t="str">
        <f t="shared" si="266"/>
        <v>FOR</v>
      </c>
      <c r="O2072" t="s">
        <v>69</v>
      </c>
      <c r="P2072" t="s">
        <v>75</v>
      </c>
      <c r="Q2072">
        <v>2016</v>
      </c>
      <c r="R2072" s="4">
        <v>42460</v>
      </c>
      <c r="S2072" s="2">
        <v>42472</v>
      </c>
      <c r="T2072" s="2">
        <v>42472</v>
      </c>
      <c r="U2072" s="4">
        <v>42532</v>
      </c>
      <c r="V2072" t="s">
        <v>71</v>
      </c>
      <c r="W2072" t="str">
        <f>"               7/325"</f>
        <v xml:space="preserve">               7/325</v>
      </c>
      <c r="X2072">
        <v>832</v>
      </c>
      <c r="Y2072">
        <v>0</v>
      </c>
      <c r="Z2072" s="5">
        <v>800</v>
      </c>
      <c r="AA2072" s="3">
        <v>236</v>
      </c>
      <c r="AB2072" s="5">
        <v>188800</v>
      </c>
      <c r="AC2072">
        <v>800</v>
      </c>
      <c r="AD2072">
        <v>236</v>
      </c>
      <c r="AE2072" s="1">
        <v>188800</v>
      </c>
      <c r="AF2072">
        <v>0</v>
      </c>
      <c r="AJ2072">
        <v>0</v>
      </c>
      <c r="AK2072">
        <v>0</v>
      </c>
      <c r="AL2072">
        <v>0</v>
      </c>
      <c r="AM2072">
        <v>0</v>
      </c>
      <c r="AN2072">
        <v>0</v>
      </c>
      <c r="AO2072">
        <v>0</v>
      </c>
      <c r="AP2072" s="2">
        <v>42831</v>
      </c>
      <c r="AQ2072" t="s">
        <v>72</v>
      </c>
      <c r="AR2072" t="s">
        <v>72</v>
      </c>
      <c r="AS2072">
        <v>213</v>
      </c>
      <c r="AT2072" s="4">
        <v>42768</v>
      </c>
      <c r="AU2072" t="s">
        <v>73</v>
      </c>
      <c r="AV2072">
        <v>213</v>
      </c>
      <c r="AW2072" s="4">
        <v>42768</v>
      </c>
      <c r="BD2072">
        <v>0</v>
      </c>
      <c r="BN2072" t="s">
        <v>74</v>
      </c>
    </row>
    <row r="2073" spans="1:66">
      <c r="A2073">
        <v>104660</v>
      </c>
      <c r="B2073" t="s">
        <v>426</v>
      </c>
      <c r="C2073" s="1">
        <v>43300101</v>
      </c>
      <c r="D2073" t="s">
        <v>67</v>
      </c>
      <c r="H2073" t="str">
        <f t="shared" si="267"/>
        <v>06141111002</v>
      </c>
      <c r="I2073" t="str">
        <f t="shared" si="267"/>
        <v>06141111002</v>
      </c>
      <c r="K2073" t="str">
        <f>""</f>
        <v/>
      </c>
      <c r="M2073" t="s">
        <v>68</v>
      </c>
      <c r="N2073" t="str">
        <f t="shared" si="266"/>
        <v>FOR</v>
      </c>
      <c r="O2073" t="s">
        <v>69</v>
      </c>
      <c r="P2073" t="s">
        <v>75</v>
      </c>
      <c r="Q2073">
        <v>2016</v>
      </c>
      <c r="R2073" s="4">
        <v>42460</v>
      </c>
      <c r="S2073" s="2">
        <v>42472</v>
      </c>
      <c r="T2073" s="2">
        <v>42472</v>
      </c>
      <c r="U2073" s="4">
        <v>42532</v>
      </c>
      <c r="V2073" t="s">
        <v>71</v>
      </c>
      <c r="W2073" t="str">
        <f>"               7/326"</f>
        <v xml:space="preserve">               7/326</v>
      </c>
      <c r="X2073">
        <v>832</v>
      </c>
      <c r="Y2073">
        <v>0</v>
      </c>
      <c r="Z2073" s="5">
        <v>800</v>
      </c>
      <c r="AA2073" s="3">
        <v>236</v>
      </c>
      <c r="AB2073" s="5">
        <v>188800</v>
      </c>
      <c r="AC2073">
        <v>800</v>
      </c>
      <c r="AD2073">
        <v>236</v>
      </c>
      <c r="AE2073" s="1">
        <v>188800</v>
      </c>
      <c r="AF2073">
        <v>0</v>
      </c>
      <c r="AJ2073">
        <v>0</v>
      </c>
      <c r="AK2073">
        <v>0</v>
      </c>
      <c r="AL2073">
        <v>0</v>
      </c>
      <c r="AM2073">
        <v>0</v>
      </c>
      <c r="AN2073">
        <v>0</v>
      </c>
      <c r="AO2073">
        <v>0</v>
      </c>
      <c r="AP2073" s="2">
        <v>42831</v>
      </c>
      <c r="AQ2073" t="s">
        <v>72</v>
      </c>
      <c r="AR2073" t="s">
        <v>72</v>
      </c>
      <c r="AS2073">
        <v>213</v>
      </c>
      <c r="AT2073" s="4">
        <v>42768</v>
      </c>
      <c r="AU2073" t="s">
        <v>73</v>
      </c>
      <c r="AV2073">
        <v>213</v>
      </c>
      <c r="AW2073" s="4">
        <v>42768</v>
      </c>
      <c r="BD2073">
        <v>0</v>
      </c>
      <c r="BN2073" t="s">
        <v>74</v>
      </c>
    </row>
    <row r="2074" spans="1:66">
      <c r="A2074">
        <v>104660</v>
      </c>
      <c r="B2074" t="s">
        <v>426</v>
      </c>
      <c r="C2074" s="1">
        <v>43300101</v>
      </c>
      <c r="D2074" t="s">
        <v>67</v>
      </c>
      <c r="H2074" t="str">
        <f t="shared" si="267"/>
        <v>06141111002</v>
      </c>
      <c r="I2074" t="str">
        <f t="shared" si="267"/>
        <v>06141111002</v>
      </c>
      <c r="K2074" t="str">
        <f>""</f>
        <v/>
      </c>
      <c r="M2074" t="s">
        <v>68</v>
      </c>
      <c r="N2074" t="str">
        <f t="shared" si="266"/>
        <v>FOR</v>
      </c>
      <c r="O2074" t="s">
        <v>69</v>
      </c>
      <c r="P2074" t="s">
        <v>75</v>
      </c>
      <c r="Q2074">
        <v>2016</v>
      </c>
      <c r="R2074" s="4">
        <v>42460</v>
      </c>
      <c r="S2074" s="2">
        <v>42472</v>
      </c>
      <c r="T2074" s="2">
        <v>42472</v>
      </c>
      <c r="U2074" s="4">
        <v>42532</v>
      </c>
      <c r="V2074" t="s">
        <v>71</v>
      </c>
      <c r="W2074" t="str">
        <f>"               7/327"</f>
        <v xml:space="preserve">               7/327</v>
      </c>
      <c r="X2074">
        <v>832</v>
      </c>
      <c r="Y2074">
        <v>0</v>
      </c>
      <c r="Z2074" s="5">
        <v>800</v>
      </c>
      <c r="AA2074" s="3">
        <v>236</v>
      </c>
      <c r="AB2074" s="5">
        <v>188800</v>
      </c>
      <c r="AC2074">
        <v>800</v>
      </c>
      <c r="AD2074">
        <v>236</v>
      </c>
      <c r="AE2074" s="1">
        <v>188800</v>
      </c>
      <c r="AF2074">
        <v>0</v>
      </c>
      <c r="AJ2074">
        <v>0</v>
      </c>
      <c r="AK2074">
        <v>0</v>
      </c>
      <c r="AL2074">
        <v>0</v>
      </c>
      <c r="AM2074">
        <v>0</v>
      </c>
      <c r="AN2074">
        <v>0</v>
      </c>
      <c r="AO2074">
        <v>0</v>
      </c>
      <c r="AP2074" s="2">
        <v>42831</v>
      </c>
      <c r="AQ2074" t="s">
        <v>72</v>
      </c>
      <c r="AR2074" t="s">
        <v>72</v>
      </c>
      <c r="AS2074">
        <v>213</v>
      </c>
      <c r="AT2074" s="4">
        <v>42768</v>
      </c>
      <c r="AU2074" t="s">
        <v>73</v>
      </c>
      <c r="AV2074">
        <v>213</v>
      </c>
      <c r="AW2074" s="4">
        <v>42768</v>
      </c>
      <c r="BD2074">
        <v>0</v>
      </c>
      <c r="BN2074" t="s">
        <v>74</v>
      </c>
    </row>
    <row r="2075" spans="1:66">
      <c r="A2075">
        <v>104660</v>
      </c>
      <c r="B2075" t="s">
        <v>426</v>
      </c>
      <c r="C2075" s="1">
        <v>43300101</v>
      </c>
      <c r="D2075" t="s">
        <v>67</v>
      </c>
      <c r="H2075" t="str">
        <f t="shared" si="267"/>
        <v>06141111002</v>
      </c>
      <c r="I2075" t="str">
        <f t="shared" si="267"/>
        <v>06141111002</v>
      </c>
      <c r="K2075" t="str">
        <f>""</f>
        <v/>
      </c>
      <c r="M2075" t="s">
        <v>68</v>
      </c>
      <c r="N2075" t="str">
        <f t="shared" si="266"/>
        <v>FOR</v>
      </c>
      <c r="O2075" t="s">
        <v>69</v>
      </c>
      <c r="P2075" t="s">
        <v>75</v>
      </c>
      <c r="Q2075">
        <v>2016</v>
      </c>
      <c r="R2075" s="4">
        <v>42460</v>
      </c>
      <c r="S2075" s="2">
        <v>42472</v>
      </c>
      <c r="T2075" s="2">
        <v>42472</v>
      </c>
      <c r="U2075" s="4">
        <v>42532</v>
      </c>
      <c r="V2075" t="s">
        <v>71</v>
      </c>
      <c r="W2075" t="str">
        <f>"               7/328"</f>
        <v xml:space="preserve">               7/328</v>
      </c>
      <c r="X2075">
        <v>832</v>
      </c>
      <c r="Y2075">
        <v>0</v>
      </c>
      <c r="Z2075" s="5">
        <v>800</v>
      </c>
      <c r="AA2075" s="3">
        <v>236</v>
      </c>
      <c r="AB2075" s="5">
        <v>188800</v>
      </c>
      <c r="AC2075">
        <v>800</v>
      </c>
      <c r="AD2075">
        <v>236</v>
      </c>
      <c r="AE2075" s="1">
        <v>188800</v>
      </c>
      <c r="AF2075">
        <v>0</v>
      </c>
      <c r="AJ2075">
        <v>0</v>
      </c>
      <c r="AK2075">
        <v>0</v>
      </c>
      <c r="AL2075">
        <v>0</v>
      </c>
      <c r="AM2075">
        <v>0</v>
      </c>
      <c r="AN2075">
        <v>0</v>
      </c>
      <c r="AO2075">
        <v>0</v>
      </c>
      <c r="AP2075" s="2">
        <v>42831</v>
      </c>
      <c r="AQ2075" t="s">
        <v>72</v>
      </c>
      <c r="AR2075" t="s">
        <v>72</v>
      </c>
      <c r="AS2075">
        <v>213</v>
      </c>
      <c r="AT2075" s="4">
        <v>42768</v>
      </c>
      <c r="AU2075" t="s">
        <v>73</v>
      </c>
      <c r="AV2075">
        <v>213</v>
      </c>
      <c r="AW2075" s="4">
        <v>42768</v>
      </c>
      <c r="BD2075">
        <v>0</v>
      </c>
      <c r="BN2075" t="s">
        <v>74</v>
      </c>
    </row>
    <row r="2076" spans="1:66">
      <c r="A2076">
        <v>104660</v>
      </c>
      <c r="B2076" t="s">
        <v>426</v>
      </c>
      <c r="C2076" s="1">
        <v>43300101</v>
      </c>
      <c r="D2076" t="s">
        <v>67</v>
      </c>
      <c r="H2076" t="str">
        <f t="shared" si="267"/>
        <v>06141111002</v>
      </c>
      <c r="I2076" t="str">
        <f t="shared" si="267"/>
        <v>06141111002</v>
      </c>
      <c r="K2076" t="str">
        <f>""</f>
        <v/>
      </c>
      <c r="M2076" t="s">
        <v>68</v>
      </c>
      <c r="N2076" t="str">
        <f t="shared" si="266"/>
        <v>FOR</v>
      </c>
      <c r="O2076" t="s">
        <v>69</v>
      </c>
      <c r="P2076" t="s">
        <v>75</v>
      </c>
      <c r="Q2076">
        <v>2016</v>
      </c>
      <c r="R2076" s="4">
        <v>42490</v>
      </c>
      <c r="S2076" s="2">
        <v>42502</v>
      </c>
      <c r="T2076" s="2">
        <v>42502</v>
      </c>
      <c r="U2076" s="4">
        <v>42562</v>
      </c>
      <c r="V2076" t="s">
        <v>71</v>
      </c>
      <c r="W2076" t="str">
        <f>"               7/431"</f>
        <v xml:space="preserve">               7/431</v>
      </c>
      <c r="X2076">
        <v>832</v>
      </c>
      <c r="Y2076">
        <v>0</v>
      </c>
      <c r="Z2076" s="5">
        <v>800</v>
      </c>
      <c r="AA2076" s="3">
        <v>218</v>
      </c>
      <c r="AB2076" s="5">
        <v>174400</v>
      </c>
      <c r="AC2076">
        <v>800</v>
      </c>
      <c r="AD2076">
        <v>218</v>
      </c>
      <c r="AE2076" s="1">
        <v>174400</v>
      </c>
      <c r="AF2076">
        <v>0</v>
      </c>
      <c r="AJ2076">
        <v>0</v>
      </c>
      <c r="AK2076">
        <v>0</v>
      </c>
      <c r="AL2076">
        <v>0</v>
      </c>
      <c r="AM2076">
        <v>0</v>
      </c>
      <c r="AN2076">
        <v>0</v>
      </c>
      <c r="AO2076">
        <v>0</v>
      </c>
      <c r="AP2076" s="2">
        <v>42831</v>
      </c>
      <c r="AQ2076" t="s">
        <v>72</v>
      </c>
      <c r="AR2076" t="s">
        <v>72</v>
      </c>
      <c r="AS2076">
        <v>440</v>
      </c>
      <c r="AT2076" s="4">
        <v>42780</v>
      </c>
      <c r="AU2076" t="s">
        <v>73</v>
      </c>
      <c r="AV2076">
        <v>440</v>
      </c>
      <c r="AW2076" s="4">
        <v>42780</v>
      </c>
      <c r="BD2076">
        <v>0</v>
      </c>
      <c r="BN2076" t="s">
        <v>74</v>
      </c>
    </row>
    <row r="2077" spans="1:66">
      <c r="A2077">
        <v>104660</v>
      </c>
      <c r="B2077" t="s">
        <v>426</v>
      </c>
      <c r="C2077" s="1">
        <v>43300101</v>
      </c>
      <c r="D2077" t="s">
        <v>67</v>
      </c>
      <c r="H2077" t="str">
        <f t="shared" si="267"/>
        <v>06141111002</v>
      </c>
      <c r="I2077" t="str">
        <f t="shared" si="267"/>
        <v>06141111002</v>
      </c>
      <c r="K2077" t="str">
        <f>""</f>
        <v/>
      </c>
      <c r="M2077" t="s">
        <v>68</v>
      </c>
      <c r="N2077" t="str">
        <f t="shared" si="266"/>
        <v>FOR</v>
      </c>
      <c r="O2077" t="s">
        <v>69</v>
      </c>
      <c r="P2077" t="s">
        <v>75</v>
      </c>
      <c r="Q2077">
        <v>2016</v>
      </c>
      <c r="R2077" s="4">
        <v>42490</v>
      </c>
      <c r="S2077" s="2">
        <v>42502</v>
      </c>
      <c r="T2077" s="2">
        <v>42502</v>
      </c>
      <c r="U2077" s="4">
        <v>42562</v>
      </c>
      <c r="V2077" t="s">
        <v>71</v>
      </c>
      <c r="W2077" t="str">
        <f>"               7/432"</f>
        <v xml:space="preserve">               7/432</v>
      </c>
      <c r="X2077">
        <v>832</v>
      </c>
      <c r="Y2077">
        <v>0</v>
      </c>
      <c r="Z2077" s="5">
        <v>800</v>
      </c>
      <c r="AA2077" s="3">
        <v>218</v>
      </c>
      <c r="AB2077" s="5">
        <v>174400</v>
      </c>
      <c r="AC2077">
        <v>800</v>
      </c>
      <c r="AD2077">
        <v>218</v>
      </c>
      <c r="AE2077" s="1">
        <v>174400</v>
      </c>
      <c r="AF2077">
        <v>0</v>
      </c>
      <c r="AJ2077">
        <v>0</v>
      </c>
      <c r="AK2077">
        <v>0</v>
      </c>
      <c r="AL2077">
        <v>0</v>
      </c>
      <c r="AM2077">
        <v>0</v>
      </c>
      <c r="AN2077">
        <v>0</v>
      </c>
      <c r="AO2077">
        <v>0</v>
      </c>
      <c r="AP2077" s="2">
        <v>42831</v>
      </c>
      <c r="AQ2077" t="s">
        <v>72</v>
      </c>
      <c r="AR2077" t="s">
        <v>72</v>
      </c>
      <c r="AS2077">
        <v>440</v>
      </c>
      <c r="AT2077" s="4">
        <v>42780</v>
      </c>
      <c r="AU2077" t="s">
        <v>73</v>
      </c>
      <c r="AV2077">
        <v>440</v>
      </c>
      <c r="AW2077" s="4">
        <v>42780</v>
      </c>
      <c r="BD2077">
        <v>0</v>
      </c>
      <c r="BN2077" t="s">
        <v>74</v>
      </c>
    </row>
    <row r="2078" spans="1:66">
      <c r="A2078">
        <v>104660</v>
      </c>
      <c r="B2078" t="s">
        <v>426</v>
      </c>
      <c r="C2078" s="1">
        <v>43300101</v>
      </c>
      <c r="D2078" t="s">
        <v>67</v>
      </c>
      <c r="H2078" t="str">
        <f t="shared" si="267"/>
        <v>06141111002</v>
      </c>
      <c r="I2078" t="str">
        <f t="shared" si="267"/>
        <v>06141111002</v>
      </c>
      <c r="K2078" t="str">
        <f>""</f>
        <v/>
      </c>
      <c r="M2078" t="s">
        <v>68</v>
      </c>
      <c r="N2078" t="str">
        <f t="shared" si="266"/>
        <v>FOR</v>
      </c>
      <c r="O2078" t="s">
        <v>69</v>
      </c>
      <c r="P2078" t="s">
        <v>75</v>
      </c>
      <c r="Q2078">
        <v>2016</v>
      </c>
      <c r="R2078" s="4">
        <v>42490</v>
      </c>
      <c r="S2078" s="2">
        <v>42502</v>
      </c>
      <c r="T2078" s="2">
        <v>42502</v>
      </c>
      <c r="U2078" s="4">
        <v>42562</v>
      </c>
      <c r="V2078" t="s">
        <v>71</v>
      </c>
      <c r="W2078" t="str">
        <f>"               7/433"</f>
        <v xml:space="preserve">               7/433</v>
      </c>
      <c r="X2078">
        <v>832</v>
      </c>
      <c r="Y2078">
        <v>0</v>
      </c>
      <c r="Z2078" s="5">
        <v>800</v>
      </c>
      <c r="AA2078" s="3">
        <v>218</v>
      </c>
      <c r="AB2078" s="5">
        <v>174400</v>
      </c>
      <c r="AC2078">
        <v>800</v>
      </c>
      <c r="AD2078">
        <v>218</v>
      </c>
      <c r="AE2078" s="1">
        <v>174400</v>
      </c>
      <c r="AF2078">
        <v>0</v>
      </c>
      <c r="AJ2078">
        <v>0</v>
      </c>
      <c r="AK2078">
        <v>0</v>
      </c>
      <c r="AL2078">
        <v>0</v>
      </c>
      <c r="AM2078">
        <v>0</v>
      </c>
      <c r="AN2078">
        <v>0</v>
      </c>
      <c r="AO2078">
        <v>0</v>
      </c>
      <c r="AP2078" s="2">
        <v>42831</v>
      </c>
      <c r="AQ2078" t="s">
        <v>72</v>
      </c>
      <c r="AR2078" t="s">
        <v>72</v>
      </c>
      <c r="AS2078">
        <v>440</v>
      </c>
      <c r="AT2078" s="4">
        <v>42780</v>
      </c>
      <c r="AU2078" t="s">
        <v>73</v>
      </c>
      <c r="AV2078">
        <v>440</v>
      </c>
      <c r="AW2078" s="4">
        <v>42780</v>
      </c>
      <c r="BD2078">
        <v>0</v>
      </c>
      <c r="BN2078" t="s">
        <v>74</v>
      </c>
    </row>
    <row r="2079" spans="1:66">
      <c r="A2079">
        <v>104660</v>
      </c>
      <c r="B2079" t="s">
        <v>426</v>
      </c>
      <c r="C2079" s="1">
        <v>43300101</v>
      </c>
      <c r="D2079" t="s">
        <v>67</v>
      </c>
      <c r="H2079" t="str">
        <f t="shared" si="267"/>
        <v>06141111002</v>
      </c>
      <c r="I2079" t="str">
        <f t="shared" si="267"/>
        <v>06141111002</v>
      </c>
      <c r="K2079" t="str">
        <f>""</f>
        <v/>
      </c>
      <c r="M2079" t="s">
        <v>68</v>
      </c>
      <c r="N2079" t="str">
        <f t="shared" si="266"/>
        <v>FOR</v>
      </c>
      <c r="O2079" t="s">
        <v>69</v>
      </c>
      <c r="P2079" t="s">
        <v>75</v>
      </c>
      <c r="Q2079">
        <v>2016</v>
      </c>
      <c r="R2079" s="4">
        <v>42490</v>
      </c>
      <c r="S2079" s="2">
        <v>42502</v>
      </c>
      <c r="T2079" s="2">
        <v>42502</v>
      </c>
      <c r="U2079" s="4">
        <v>42562</v>
      </c>
      <c r="V2079" t="s">
        <v>71</v>
      </c>
      <c r="W2079" t="str">
        <f>"               7/434"</f>
        <v xml:space="preserve">               7/434</v>
      </c>
      <c r="X2079">
        <v>832</v>
      </c>
      <c r="Y2079">
        <v>0</v>
      </c>
      <c r="Z2079" s="5">
        <v>800</v>
      </c>
      <c r="AA2079" s="3">
        <v>218</v>
      </c>
      <c r="AB2079" s="5">
        <v>174400</v>
      </c>
      <c r="AC2079">
        <v>800</v>
      </c>
      <c r="AD2079">
        <v>218</v>
      </c>
      <c r="AE2079" s="1">
        <v>174400</v>
      </c>
      <c r="AF2079">
        <v>0</v>
      </c>
      <c r="AJ2079">
        <v>0</v>
      </c>
      <c r="AK2079">
        <v>0</v>
      </c>
      <c r="AL2079">
        <v>0</v>
      </c>
      <c r="AM2079">
        <v>0</v>
      </c>
      <c r="AN2079">
        <v>0</v>
      </c>
      <c r="AO2079">
        <v>0</v>
      </c>
      <c r="AP2079" s="2">
        <v>42831</v>
      </c>
      <c r="AQ2079" t="s">
        <v>72</v>
      </c>
      <c r="AR2079" t="s">
        <v>72</v>
      </c>
      <c r="AS2079">
        <v>440</v>
      </c>
      <c r="AT2079" s="4">
        <v>42780</v>
      </c>
      <c r="AU2079" t="s">
        <v>73</v>
      </c>
      <c r="AV2079">
        <v>440</v>
      </c>
      <c r="AW2079" s="4">
        <v>42780</v>
      </c>
      <c r="BD2079">
        <v>0</v>
      </c>
      <c r="BN2079" t="s">
        <v>74</v>
      </c>
    </row>
    <row r="2080" spans="1:66">
      <c r="A2080">
        <v>104660</v>
      </c>
      <c r="B2080" t="s">
        <v>426</v>
      </c>
      <c r="C2080" s="1">
        <v>43300101</v>
      </c>
      <c r="D2080" t="s">
        <v>67</v>
      </c>
      <c r="H2080" t="str">
        <f t="shared" si="267"/>
        <v>06141111002</v>
      </c>
      <c r="I2080" t="str">
        <f t="shared" si="267"/>
        <v>06141111002</v>
      </c>
      <c r="K2080" t="str">
        <f>""</f>
        <v/>
      </c>
      <c r="M2080" t="s">
        <v>68</v>
      </c>
      <c r="N2080" t="str">
        <f t="shared" si="266"/>
        <v>FOR</v>
      </c>
      <c r="O2080" t="s">
        <v>69</v>
      </c>
      <c r="P2080" t="s">
        <v>75</v>
      </c>
      <c r="Q2080">
        <v>2016</v>
      </c>
      <c r="R2080" s="4">
        <v>42490</v>
      </c>
      <c r="S2080" s="2">
        <v>42502</v>
      </c>
      <c r="T2080" s="2">
        <v>42502</v>
      </c>
      <c r="U2080" s="4">
        <v>42562</v>
      </c>
      <c r="V2080" t="s">
        <v>71</v>
      </c>
      <c r="W2080" t="str">
        <f>"               7/435"</f>
        <v xml:space="preserve">               7/435</v>
      </c>
      <c r="X2080">
        <v>832</v>
      </c>
      <c r="Y2080">
        <v>0</v>
      </c>
      <c r="Z2080" s="5">
        <v>800</v>
      </c>
      <c r="AA2080" s="3">
        <v>218</v>
      </c>
      <c r="AB2080" s="5">
        <v>174400</v>
      </c>
      <c r="AC2080">
        <v>800</v>
      </c>
      <c r="AD2080">
        <v>218</v>
      </c>
      <c r="AE2080" s="1">
        <v>174400</v>
      </c>
      <c r="AF2080">
        <v>0</v>
      </c>
      <c r="AJ2080">
        <v>0</v>
      </c>
      <c r="AK2080">
        <v>0</v>
      </c>
      <c r="AL2080">
        <v>0</v>
      </c>
      <c r="AM2080">
        <v>0</v>
      </c>
      <c r="AN2080">
        <v>0</v>
      </c>
      <c r="AO2080">
        <v>0</v>
      </c>
      <c r="AP2080" s="2">
        <v>42831</v>
      </c>
      <c r="AQ2080" t="s">
        <v>72</v>
      </c>
      <c r="AR2080" t="s">
        <v>72</v>
      </c>
      <c r="AS2080">
        <v>440</v>
      </c>
      <c r="AT2080" s="4">
        <v>42780</v>
      </c>
      <c r="AU2080" t="s">
        <v>73</v>
      </c>
      <c r="AV2080">
        <v>440</v>
      </c>
      <c r="AW2080" s="4">
        <v>42780</v>
      </c>
      <c r="BD2080">
        <v>0</v>
      </c>
      <c r="BN2080" t="s">
        <v>74</v>
      </c>
    </row>
    <row r="2081" spans="1:66">
      <c r="A2081">
        <v>104660</v>
      </c>
      <c r="B2081" t="s">
        <v>426</v>
      </c>
      <c r="C2081" s="1">
        <v>43300101</v>
      </c>
      <c r="D2081" t="s">
        <v>67</v>
      </c>
      <c r="H2081" t="str">
        <f t="shared" si="267"/>
        <v>06141111002</v>
      </c>
      <c r="I2081" t="str">
        <f t="shared" si="267"/>
        <v>06141111002</v>
      </c>
      <c r="K2081" t="str">
        <f>""</f>
        <v/>
      </c>
      <c r="M2081" t="s">
        <v>68</v>
      </c>
      <c r="N2081" t="str">
        <f t="shared" si="266"/>
        <v>FOR</v>
      </c>
      <c r="O2081" t="s">
        <v>69</v>
      </c>
      <c r="P2081" t="s">
        <v>75</v>
      </c>
      <c r="Q2081">
        <v>2016</v>
      </c>
      <c r="R2081" s="4">
        <v>42490</v>
      </c>
      <c r="S2081" s="2">
        <v>42502</v>
      </c>
      <c r="T2081" s="2">
        <v>42502</v>
      </c>
      <c r="U2081" s="4">
        <v>42562</v>
      </c>
      <c r="V2081" t="s">
        <v>71</v>
      </c>
      <c r="W2081" t="str">
        <f>"               7/436"</f>
        <v xml:space="preserve">               7/436</v>
      </c>
      <c r="X2081">
        <v>832</v>
      </c>
      <c r="Y2081">
        <v>0</v>
      </c>
      <c r="Z2081" s="5">
        <v>800</v>
      </c>
      <c r="AA2081" s="3">
        <v>218</v>
      </c>
      <c r="AB2081" s="5">
        <v>174400</v>
      </c>
      <c r="AC2081">
        <v>800</v>
      </c>
      <c r="AD2081">
        <v>218</v>
      </c>
      <c r="AE2081" s="1">
        <v>174400</v>
      </c>
      <c r="AF2081">
        <v>0</v>
      </c>
      <c r="AJ2081">
        <v>0</v>
      </c>
      <c r="AK2081">
        <v>0</v>
      </c>
      <c r="AL2081">
        <v>0</v>
      </c>
      <c r="AM2081">
        <v>0</v>
      </c>
      <c r="AN2081">
        <v>0</v>
      </c>
      <c r="AO2081">
        <v>0</v>
      </c>
      <c r="AP2081" s="2">
        <v>42831</v>
      </c>
      <c r="AQ2081" t="s">
        <v>72</v>
      </c>
      <c r="AR2081" t="s">
        <v>72</v>
      </c>
      <c r="AS2081">
        <v>440</v>
      </c>
      <c r="AT2081" s="4">
        <v>42780</v>
      </c>
      <c r="AU2081" t="s">
        <v>73</v>
      </c>
      <c r="AV2081">
        <v>440</v>
      </c>
      <c r="AW2081" s="4">
        <v>42780</v>
      </c>
      <c r="BD2081">
        <v>0</v>
      </c>
      <c r="BN2081" t="s">
        <v>74</v>
      </c>
    </row>
    <row r="2082" spans="1:66">
      <c r="A2082">
        <v>104660</v>
      </c>
      <c r="B2082" t="s">
        <v>426</v>
      </c>
      <c r="C2082" s="1">
        <v>43300101</v>
      </c>
      <c r="D2082" t="s">
        <v>67</v>
      </c>
      <c r="H2082" t="str">
        <f t="shared" si="267"/>
        <v>06141111002</v>
      </c>
      <c r="I2082" t="str">
        <f t="shared" si="267"/>
        <v>06141111002</v>
      </c>
      <c r="K2082" t="str">
        <f>""</f>
        <v/>
      </c>
      <c r="M2082" t="s">
        <v>68</v>
      </c>
      <c r="N2082" t="str">
        <f t="shared" si="266"/>
        <v>FOR</v>
      </c>
      <c r="O2082" t="s">
        <v>69</v>
      </c>
      <c r="P2082" t="s">
        <v>75</v>
      </c>
      <c r="Q2082">
        <v>2016</v>
      </c>
      <c r="R2082" s="4">
        <v>42490</v>
      </c>
      <c r="S2082" s="2">
        <v>42502</v>
      </c>
      <c r="T2082" s="2">
        <v>42502</v>
      </c>
      <c r="U2082" s="4">
        <v>42562</v>
      </c>
      <c r="V2082" t="s">
        <v>71</v>
      </c>
      <c r="W2082" t="str">
        <f>"               7/437"</f>
        <v xml:space="preserve">               7/437</v>
      </c>
      <c r="X2082">
        <v>832</v>
      </c>
      <c r="Y2082">
        <v>0</v>
      </c>
      <c r="Z2082" s="5">
        <v>800</v>
      </c>
      <c r="AA2082" s="3">
        <v>218</v>
      </c>
      <c r="AB2082" s="5">
        <v>174400</v>
      </c>
      <c r="AC2082">
        <v>800</v>
      </c>
      <c r="AD2082">
        <v>218</v>
      </c>
      <c r="AE2082" s="1">
        <v>174400</v>
      </c>
      <c r="AF2082">
        <v>0</v>
      </c>
      <c r="AJ2082">
        <v>0</v>
      </c>
      <c r="AK2082">
        <v>0</v>
      </c>
      <c r="AL2082">
        <v>0</v>
      </c>
      <c r="AM2082">
        <v>0</v>
      </c>
      <c r="AN2082">
        <v>0</v>
      </c>
      <c r="AO2082">
        <v>0</v>
      </c>
      <c r="AP2082" s="2">
        <v>42831</v>
      </c>
      <c r="AQ2082" t="s">
        <v>72</v>
      </c>
      <c r="AR2082" t="s">
        <v>72</v>
      </c>
      <c r="AS2082">
        <v>440</v>
      </c>
      <c r="AT2082" s="4">
        <v>42780</v>
      </c>
      <c r="AU2082" t="s">
        <v>73</v>
      </c>
      <c r="AV2082">
        <v>440</v>
      </c>
      <c r="AW2082" s="4">
        <v>42780</v>
      </c>
      <c r="BD2082">
        <v>0</v>
      </c>
      <c r="BN2082" t="s">
        <v>74</v>
      </c>
    </row>
    <row r="2083" spans="1:66">
      <c r="A2083">
        <v>104660</v>
      </c>
      <c r="B2083" t="s">
        <v>426</v>
      </c>
      <c r="C2083" s="1">
        <v>43300101</v>
      </c>
      <c r="D2083" t="s">
        <v>67</v>
      </c>
      <c r="H2083" t="str">
        <f t="shared" si="267"/>
        <v>06141111002</v>
      </c>
      <c r="I2083" t="str">
        <f t="shared" si="267"/>
        <v>06141111002</v>
      </c>
      <c r="K2083" t="str">
        <f>""</f>
        <v/>
      </c>
      <c r="M2083" t="s">
        <v>68</v>
      </c>
      <c r="N2083" t="str">
        <f t="shared" si="266"/>
        <v>FOR</v>
      </c>
      <c r="O2083" t="s">
        <v>69</v>
      </c>
      <c r="P2083" t="s">
        <v>75</v>
      </c>
      <c r="Q2083">
        <v>2016</v>
      </c>
      <c r="R2083" s="4">
        <v>42490</v>
      </c>
      <c r="S2083" s="2">
        <v>42502</v>
      </c>
      <c r="T2083" s="2">
        <v>42502</v>
      </c>
      <c r="U2083" s="4">
        <v>42562</v>
      </c>
      <c r="V2083" t="s">
        <v>71</v>
      </c>
      <c r="W2083" t="str">
        <f>"               7/438"</f>
        <v xml:space="preserve">               7/438</v>
      </c>
      <c r="X2083">
        <v>832</v>
      </c>
      <c r="Y2083">
        <v>0</v>
      </c>
      <c r="Z2083" s="5">
        <v>800</v>
      </c>
      <c r="AA2083" s="3">
        <v>218</v>
      </c>
      <c r="AB2083" s="5">
        <v>174400</v>
      </c>
      <c r="AC2083">
        <v>800</v>
      </c>
      <c r="AD2083">
        <v>218</v>
      </c>
      <c r="AE2083" s="1">
        <v>174400</v>
      </c>
      <c r="AF2083">
        <v>0</v>
      </c>
      <c r="AJ2083">
        <v>0</v>
      </c>
      <c r="AK2083">
        <v>0</v>
      </c>
      <c r="AL2083">
        <v>0</v>
      </c>
      <c r="AM2083">
        <v>0</v>
      </c>
      <c r="AN2083">
        <v>0</v>
      </c>
      <c r="AO2083">
        <v>0</v>
      </c>
      <c r="AP2083" s="2">
        <v>42831</v>
      </c>
      <c r="AQ2083" t="s">
        <v>72</v>
      </c>
      <c r="AR2083" t="s">
        <v>72</v>
      </c>
      <c r="AS2083">
        <v>440</v>
      </c>
      <c r="AT2083" s="4">
        <v>42780</v>
      </c>
      <c r="AU2083" t="s">
        <v>73</v>
      </c>
      <c r="AV2083">
        <v>440</v>
      </c>
      <c r="AW2083" s="4">
        <v>42780</v>
      </c>
      <c r="BD2083">
        <v>0</v>
      </c>
      <c r="BN2083" t="s">
        <v>74</v>
      </c>
    </row>
    <row r="2084" spans="1:66">
      <c r="A2084">
        <v>104660</v>
      </c>
      <c r="B2084" t="s">
        <v>426</v>
      </c>
      <c r="C2084" s="1">
        <v>43300101</v>
      </c>
      <c r="D2084" t="s">
        <v>67</v>
      </c>
      <c r="H2084" t="str">
        <f t="shared" si="267"/>
        <v>06141111002</v>
      </c>
      <c r="I2084" t="str">
        <f t="shared" si="267"/>
        <v>06141111002</v>
      </c>
      <c r="K2084" t="str">
        <f>""</f>
        <v/>
      </c>
      <c r="M2084" t="s">
        <v>68</v>
      </c>
      <c r="N2084" t="str">
        <f t="shared" si="266"/>
        <v>FOR</v>
      </c>
      <c r="O2084" t="s">
        <v>69</v>
      </c>
      <c r="P2084" t="s">
        <v>75</v>
      </c>
      <c r="Q2084">
        <v>2016</v>
      </c>
      <c r="R2084" s="4">
        <v>42490</v>
      </c>
      <c r="S2084" s="2">
        <v>42502</v>
      </c>
      <c r="T2084" s="2">
        <v>42502</v>
      </c>
      <c r="U2084" s="4">
        <v>42562</v>
      </c>
      <c r="V2084" t="s">
        <v>71</v>
      </c>
      <c r="W2084" t="str">
        <f>"               7/439"</f>
        <v xml:space="preserve">               7/439</v>
      </c>
      <c r="X2084">
        <v>832</v>
      </c>
      <c r="Y2084">
        <v>0</v>
      </c>
      <c r="Z2084" s="5">
        <v>800</v>
      </c>
      <c r="AA2084" s="3">
        <v>218</v>
      </c>
      <c r="AB2084" s="5">
        <v>174400</v>
      </c>
      <c r="AC2084">
        <v>800</v>
      </c>
      <c r="AD2084">
        <v>218</v>
      </c>
      <c r="AE2084" s="1">
        <v>174400</v>
      </c>
      <c r="AF2084">
        <v>0</v>
      </c>
      <c r="AJ2084">
        <v>0</v>
      </c>
      <c r="AK2084">
        <v>0</v>
      </c>
      <c r="AL2084">
        <v>0</v>
      </c>
      <c r="AM2084">
        <v>0</v>
      </c>
      <c r="AN2084">
        <v>0</v>
      </c>
      <c r="AO2084">
        <v>0</v>
      </c>
      <c r="AP2084" s="2">
        <v>42831</v>
      </c>
      <c r="AQ2084" t="s">
        <v>72</v>
      </c>
      <c r="AR2084" t="s">
        <v>72</v>
      </c>
      <c r="AS2084">
        <v>440</v>
      </c>
      <c r="AT2084" s="4">
        <v>42780</v>
      </c>
      <c r="AU2084" t="s">
        <v>73</v>
      </c>
      <c r="AV2084">
        <v>440</v>
      </c>
      <c r="AW2084" s="4">
        <v>42780</v>
      </c>
      <c r="BD2084">
        <v>0</v>
      </c>
      <c r="BN2084" t="s">
        <v>74</v>
      </c>
    </row>
    <row r="2085" spans="1:66">
      <c r="A2085">
        <v>104660</v>
      </c>
      <c r="B2085" t="s">
        <v>426</v>
      </c>
      <c r="C2085" s="1">
        <v>43300101</v>
      </c>
      <c r="D2085" t="s">
        <v>67</v>
      </c>
      <c r="H2085" t="str">
        <f t="shared" si="267"/>
        <v>06141111002</v>
      </c>
      <c r="I2085" t="str">
        <f t="shared" si="267"/>
        <v>06141111002</v>
      </c>
      <c r="K2085" t="str">
        <f>""</f>
        <v/>
      </c>
      <c r="M2085" t="s">
        <v>68</v>
      </c>
      <c r="N2085" t="str">
        <f t="shared" si="266"/>
        <v>FOR</v>
      </c>
      <c r="O2085" t="s">
        <v>69</v>
      </c>
      <c r="P2085" t="s">
        <v>75</v>
      </c>
      <c r="Q2085">
        <v>2016</v>
      </c>
      <c r="R2085" s="4">
        <v>42490</v>
      </c>
      <c r="S2085" s="2">
        <v>42502</v>
      </c>
      <c r="T2085" s="2">
        <v>42502</v>
      </c>
      <c r="U2085" s="4">
        <v>42562</v>
      </c>
      <c r="V2085" t="s">
        <v>71</v>
      </c>
      <c r="W2085" t="str">
        <f>"               7/440"</f>
        <v xml:space="preserve">               7/440</v>
      </c>
      <c r="X2085">
        <v>832</v>
      </c>
      <c r="Y2085">
        <v>0</v>
      </c>
      <c r="Z2085" s="5">
        <v>800</v>
      </c>
      <c r="AA2085" s="3">
        <v>218</v>
      </c>
      <c r="AB2085" s="5">
        <v>174400</v>
      </c>
      <c r="AC2085">
        <v>800</v>
      </c>
      <c r="AD2085">
        <v>218</v>
      </c>
      <c r="AE2085" s="1">
        <v>174400</v>
      </c>
      <c r="AF2085">
        <v>0</v>
      </c>
      <c r="AJ2085">
        <v>0</v>
      </c>
      <c r="AK2085">
        <v>0</v>
      </c>
      <c r="AL2085">
        <v>0</v>
      </c>
      <c r="AM2085">
        <v>0</v>
      </c>
      <c r="AN2085">
        <v>0</v>
      </c>
      <c r="AO2085">
        <v>0</v>
      </c>
      <c r="AP2085" s="2">
        <v>42831</v>
      </c>
      <c r="AQ2085" t="s">
        <v>72</v>
      </c>
      <c r="AR2085" t="s">
        <v>72</v>
      </c>
      <c r="AS2085">
        <v>440</v>
      </c>
      <c r="AT2085" s="4">
        <v>42780</v>
      </c>
      <c r="AU2085" t="s">
        <v>73</v>
      </c>
      <c r="AV2085">
        <v>440</v>
      </c>
      <c r="AW2085" s="4">
        <v>42780</v>
      </c>
      <c r="BD2085">
        <v>0</v>
      </c>
      <c r="BN2085" t="s">
        <v>74</v>
      </c>
    </row>
    <row r="2086" spans="1:66">
      <c r="A2086">
        <v>104660</v>
      </c>
      <c r="B2086" t="s">
        <v>426</v>
      </c>
      <c r="C2086" s="1">
        <v>43300101</v>
      </c>
      <c r="D2086" t="s">
        <v>67</v>
      </c>
      <c r="H2086" t="str">
        <f t="shared" si="267"/>
        <v>06141111002</v>
      </c>
      <c r="I2086" t="str">
        <f t="shared" si="267"/>
        <v>06141111002</v>
      </c>
      <c r="K2086" t="str">
        <f>""</f>
        <v/>
      </c>
      <c r="M2086" t="s">
        <v>68</v>
      </c>
      <c r="N2086" t="str">
        <f t="shared" si="266"/>
        <v>FOR</v>
      </c>
      <c r="O2086" t="s">
        <v>69</v>
      </c>
      <c r="P2086" t="s">
        <v>75</v>
      </c>
      <c r="Q2086">
        <v>2016</v>
      </c>
      <c r="R2086" s="4">
        <v>42490</v>
      </c>
      <c r="S2086" s="2">
        <v>42502</v>
      </c>
      <c r="T2086" s="2">
        <v>42502</v>
      </c>
      <c r="U2086" s="4">
        <v>42562</v>
      </c>
      <c r="V2086" t="s">
        <v>71</v>
      </c>
      <c r="W2086" t="str">
        <f>"               7/441"</f>
        <v xml:space="preserve">               7/441</v>
      </c>
      <c r="X2086">
        <v>832</v>
      </c>
      <c r="Y2086">
        <v>0</v>
      </c>
      <c r="Z2086" s="5">
        <v>800</v>
      </c>
      <c r="AA2086" s="3">
        <v>218</v>
      </c>
      <c r="AB2086" s="5">
        <v>174400</v>
      </c>
      <c r="AC2086">
        <v>800</v>
      </c>
      <c r="AD2086">
        <v>218</v>
      </c>
      <c r="AE2086" s="1">
        <v>174400</v>
      </c>
      <c r="AF2086">
        <v>0</v>
      </c>
      <c r="AJ2086">
        <v>0</v>
      </c>
      <c r="AK2086">
        <v>0</v>
      </c>
      <c r="AL2086">
        <v>0</v>
      </c>
      <c r="AM2086">
        <v>0</v>
      </c>
      <c r="AN2086">
        <v>0</v>
      </c>
      <c r="AO2086">
        <v>0</v>
      </c>
      <c r="AP2086" s="2">
        <v>42831</v>
      </c>
      <c r="AQ2086" t="s">
        <v>72</v>
      </c>
      <c r="AR2086" t="s">
        <v>72</v>
      </c>
      <c r="AS2086">
        <v>440</v>
      </c>
      <c r="AT2086" s="4">
        <v>42780</v>
      </c>
      <c r="AU2086" t="s">
        <v>73</v>
      </c>
      <c r="AV2086">
        <v>440</v>
      </c>
      <c r="AW2086" s="4">
        <v>42780</v>
      </c>
      <c r="BD2086">
        <v>0</v>
      </c>
      <c r="BN2086" t="s">
        <v>74</v>
      </c>
    </row>
    <row r="2087" spans="1:66">
      <c r="A2087">
        <v>104660</v>
      </c>
      <c r="B2087" t="s">
        <v>426</v>
      </c>
      <c r="C2087" s="1">
        <v>43300101</v>
      </c>
      <c r="D2087" t="s">
        <v>67</v>
      </c>
      <c r="H2087" t="str">
        <f t="shared" si="267"/>
        <v>06141111002</v>
      </c>
      <c r="I2087" t="str">
        <f t="shared" si="267"/>
        <v>06141111002</v>
      </c>
      <c r="K2087" t="str">
        <f>""</f>
        <v/>
      </c>
      <c r="M2087" t="s">
        <v>68</v>
      </c>
      <c r="N2087" t="str">
        <f t="shared" si="266"/>
        <v>FOR</v>
      </c>
      <c r="O2087" t="s">
        <v>69</v>
      </c>
      <c r="P2087" t="s">
        <v>75</v>
      </c>
      <c r="Q2087">
        <v>2016</v>
      </c>
      <c r="R2087" s="4">
        <v>42490</v>
      </c>
      <c r="S2087" s="2">
        <v>42502</v>
      </c>
      <c r="T2087" s="2">
        <v>42502</v>
      </c>
      <c r="U2087" s="4">
        <v>42562</v>
      </c>
      <c r="V2087" t="s">
        <v>71</v>
      </c>
      <c r="W2087" t="str">
        <f>"               7/442"</f>
        <v xml:space="preserve">               7/442</v>
      </c>
      <c r="X2087">
        <v>832</v>
      </c>
      <c r="Y2087">
        <v>0</v>
      </c>
      <c r="Z2087" s="5">
        <v>800</v>
      </c>
      <c r="AA2087" s="3">
        <v>218</v>
      </c>
      <c r="AB2087" s="5">
        <v>174400</v>
      </c>
      <c r="AC2087">
        <v>800</v>
      </c>
      <c r="AD2087">
        <v>218</v>
      </c>
      <c r="AE2087" s="1">
        <v>174400</v>
      </c>
      <c r="AF2087">
        <v>0</v>
      </c>
      <c r="AJ2087">
        <v>0</v>
      </c>
      <c r="AK2087">
        <v>0</v>
      </c>
      <c r="AL2087">
        <v>0</v>
      </c>
      <c r="AM2087">
        <v>0</v>
      </c>
      <c r="AN2087">
        <v>0</v>
      </c>
      <c r="AO2087">
        <v>0</v>
      </c>
      <c r="AP2087" s="2">
        <v>42831</v>
      </c>
      <c r="AQ2087" t="s">
        <v>72</v>
      </c>
      <c r="AR2087" t="s">
        <v>72</v>
      </c>
      <c r="AS2087">
        <v>440</v>
      </c>
      <c r="AT2087" s="4">
        <v>42780</v>
      </c>
      <c r="AU2087" t="s">
        <v>73</v>
      </c>
      <c r="AV2087">
        <v>440</v>
      </c>
      <c r="AW2087" s="4">
        <v>42780</v>
      </c>
      <c r="BD2087">
        <v>0</v>
      </c>
      <c r="BN2087" t="s">
        <v>74</v>
      </c>
    </row>
    <row r="2088" spans="1:66">
      <c r="A2088">
        <v>104660</v>
      </c>
      <c r="B2088" t="s">
        <v>426</v>
      </c>
      <c r="C2088" s="1">
        <v>43300101</v>
      </c>
      <c r="D2088" t="s">
        <v>67</v>
      </c>
      <c r="H2088" t="str">
        <f t="shared" si="267"/>
        <v>06141111002</v>
      </c>
      <c r="I2088" t="str">
        <f t="shared" si="267"/>
        <v>06141111002</v>
      </c>
      <c r="K2088" t="str">
        <f>""</f>
        <v/>
      </c>
      <c r="M2088" t="s">
        <v>68</v>
      </c>
      <c r="N2088" t="str">
        <f t="shared" si="266"/>
        <v>FOR</v>
      </c>
      <c r="O2088" t="s">
        <v>69</v>
      </c>
      <c r="P2088" t="s">
        <v>75</v>
      </c>
      <c r="Q2088">
        <v>2016</v>
      </c>
      <c r="R2088" s="4">
        <v>42521</v>
      </c>
      <c r="S2088" s="2">
        <v>42534</v>
      </c>
      <c r="T2088" s="2">
        <v>42534</v>
      </c>
      <c r="U2088" s="4">
        <v>42594</v>
      </c>
      <c r="V2088" t="s">
        <v>71</v>
      </c>
      <c r="W2088" t="str">
        <f>"               7/527"</f>
        <v xml:space="preserve">               7/527</v>
      </c>
      <c r="X2088">
        <v>832</v>
      </c>
      <c r="Y2088">
        <v>0</v>
      </c>
      <c r="Z2088" s="5">
        <v>800</v>
      </c>
      <c r="AA2088" s="3">
        <v>201</v>
      </c>
      <c r="AB2088" s="5">
        <v>160800</v>
      </c>
      <c r="AC2088">
        <v>800</v>
      </c>
      <c r="AD2088">
        <v>201</v>
      </c>
      <c r="AE2088" s="1">
        <v>160800</v>
      </c>
      <c r="AF2088">
        <v>32</v>
      </c>
      <c r="AJ2088">
        <v>0</v>
      </c>
      <c r="AK2088">
        <v>0</v>
      </c>
      <c r="AL2088">
        <v>0</v>
      </c>
      <c r="AM2088">
        <v>0</v>
      </c>
      <c r="AN2088">
        <v>0</v>
      </c>
      <c r="AO2088">
        <v>0</v>
      </c>
      <c r="AP2088" s="2">
        <v>42831</v>
      </c>
      <c r="AQ2088" t="s">
        <v>72</v>
      </c>
      <c r="AR2088" t="s">
        <v>72</v>
      </c>
      <c r="AS2088">
        <v>635</v>
      </c>
      <c r="AT2088" s="4">
        <v>42795</v>
      </c>
      <c r="AU2088" t="s">
        <v>73</v>
      </c>
      <c r="AV2088">
        <v>635</v>
      </c>
      <c r="AW2088" s="4">
        <v>42795</v>
      </c>
      <c r="BD2088">
        <v>32</v>
      </c>
      <c r="BN2088" t="s">
        <v>74</v>
      </c>
    </row>
    <row r="2089" spans="1:66">
      <c r="A2089">
        <v>104660</v>
      </c>
      <c r="B2089" t="s">
        <v>426</v>
      </c>
      <c r="C2089" s="1">
        <v>43300101</v>
      </c>
      <c r="D2089" t="s">
        <v>67</v>
      </c>
      <c r="H2089" t="str">
        <f t="shared" si="267"/>
        <v>06141111002</v>
      </c>
      <c r="I2089" t="str">
        <f t="shared" si="267"/>
        <v>06141111002</v>
      </c>
      <c r="K2089" t="str">
        <f>""</f>
        <v/>
      </c>
      <c r="M2089" t="s">
        <v>68</v>
      </c>
      <c r="N2089" t="str">
        <f t="shared" si="266"/>
        <v>FOR</v>
      </c>
      <c r="O2089" t="s">
        <v>69</v>
      </c>
      <c r="P2089" t="s">
        <v>75</v>
      </c>
      <c r="Q2089">
        <v>2016</v>
      </c>
      <c r="R2089" s="4">
        <v>42521</v>
      </c>
      <c r="S2089" s="2">
        <v>42534</v>
      </c>
      <c r="T2089" s="2">
        <v>42534</v>
      </c>
      <c r="U2089" s="4">
        <v>42594</v>
      </c>
      <c r="V2089" t="s">
        <v>71</v>
      </c>
      <c r="W2089" t="str">
        <f>"               7/528"</f>
        <v xml:space="preserve">               7/528</v>
      </c>
      <c r="X2089">
        <v>832</v>
      </c>
      <c r="Y2089">
        <v>0</v>
      </c>
      <c r="Z2089" s="5">
        <v>800</v>
      </c>
      <c r="AA2089" s="3">
        <v>201</v>
      </c>
      <c r="AB2089" s="5">
        <v>160800</v>
      </c>
      <c r="AC2089">
        <v>800</v>
      </c>
      <c r="AD2089">
        <v>201</v>
      </c>
      <c r="AE2089" s="1">
        <v>160800</v>
      </c>
      <c r="AF2089">
        <v>32</v>
      </c>
      <c r="AJ2089">
        <v>0</v>
      </c>
      <c r="AK2089">
        <v>0</v>
      </c>
      <c r="AL2089">
        <v>0</v>
      </c>
      <c r="AM2089">
        <v>0</v>
      </c>
      <c r="AN2089">
        <v>0</v>
      </c>
      <c r="AO2089">
        <v>0</v>
      </c>
      <c r="AP2089" s="2">
        <v>42831</v>
      </c>
      <c r="AQ2089" t="s">
        <v>72</v>
      </c>
      <c r="AR2089" t="s">
        <v>72</v>
      </c>
      <c r="AS2089">
        <v>635</v>
      </c>
      <c r="AT2089" s="4">
        <v>42795</v>
      </c>
      <c r="AU2089" t="s">
        <v>73</v>
      </c>
      <c r="AV2089">
        <v>635</v>
      </c>
      <c r="AW2089" s="4">
        <v>42795</v>
      </c>
      <c r="BD2089">
        <v>32</v>
      </c>
      <c r="BN2089" t="s">
        <v>74</v>
      </c>
    </row>
    <row r="2090" spans="1:66" hidden="1">
      <c r="A2090">
        <v>104663</v>
      </c>
      <c r="B2090" t="s">
        <v>427</v>
      </c>
      <c r="C2090" s="1">
        <v>43500101</v>
      </c>
      <c r="D2090" t="s">
        <v>98</v>
      </c>
      <c r="H2090" t="str">
        <f t="shared" ref="H2090:I2092" si="268">"03436130243"</f>
        <v>03436130243</v>
      </c>
      <c r="I2090" t="str">
        <f t="shared" si="268"/>
        <v>03436130243</v>
      </c>
      <c r="K2090" t="str">
        <f>""</f>
        <v/>
      </c>
      <c r="M2090" t="s">
        <v>68</v>
      </c>
      <c r="N2090" t="str">
        <f t="shared" ref="N2090:N2095" si="269">"ALTFIN"</f>
        <v>ALTFIN</v>
      </c>
      <c r="O2090" t="s">
        <v>102</v>
      </c>
      <c r="P2090" t="s">
        <v>82</v>
      </c>
      <c r="Q2090">
        <v>2017</v>
      </c>
      <c r="R2090" s="4">
        <v>42755</v>
      </c>
      <c r="S2090" s="2">
        <v>42755</v>
      </c>
      <c r="T2090" s="2">
        <v>42755</v>
      </c>
      <c r="U2090" s="4">
        <v>42815</v>
      </c>
      <c r="V2090" t="s">
        <v>71</v>
      </c>
      <c r="W2090" t="str">
        <f>"                0120"</f>
        <v xml:space="preserve">                0120</v>
      </c>
      <c r="X2090">
        <v>0</v>
      </c>
      <c r="Y2090" s="1">
        <v>1513</v>
      </c>
      <c r="Z2090" s="5">
        <v>1513</v>
      </c>
      <c r="AA2090" s="3">
        <v>-57</v>
      </c>
      <c r="AB2090" s="5">
        <v>-86241</v>
      </c>
      <c r="AC2090" s="1">
        <v>1513</v>
      </c>
      <c r="AD2090">
        <v>-57</v>
      </c>
      <c r="AE2090" s="1">
        <v>-86241</v>
      </c>
      <c r="AF2090">
        <v>0</v>
      </c>
      <c r="AJ2090" s="1">
        <v>1513</v>
      </c>
      <c r="AK2090" s="1">
        <v>1513</v>
      </c>
      <c r="AL2090" s="1">
        <v>1513</v>
      </c>
      <c r="AM2090" s="1">
        <v>1513</v>
      </c>
      <c r="AN2090" s="1">
        <v>1513</v>
      </c>
      <c r="AO2090" s="1">
        <v>1513</v>
      </c>
      <c r="AP2090" s="2">
        <v>42831</v>
      </c>
      <c r="AQ2090" t="s">
        <v>72</v>
      </c>
      <c r="AR2090" t="s">
        <v>72</v>
      </c>
      <c r="AS2090">
        <v>70</v>
      </c>
      <c r="AT2090" s="4">
        <v>42758</v>
      </c>
      <c r="AV2090">
        <v>70</v>
      </c>
      <c r="AW2090" s="4">
        <v>42758</v>
      </c>
      <c r="BD2090">
        <v>0</v>
      </c>
      <c r="BN2090" t="s">
        <v>74</v>
      </c>
    </row>
    <row r="2091" spans="1:66" hidden="1">
      <c r="A2091">
        <v>104663</v>
      </c>
      <c r="B2091" t="s">
        <v>427</v>
      </c>
      <c r="C2091" s="1">
        <v>43500101</v>
      </c>
      <c r="D2091" t="s">
        <v>98</v>
      </c>
      <c r="H2091" t="str">
        <f t="shared" si="268"/>
        <v>03436130243</v>
      </c>
      <c r="I2091" t="str">
        <f t="shared" si="268"/>
        <v>03436130243</v>
      </c>
      <c r="K2091" t="str">
        <f>""</f>
        <v/>
      </c>
      <c r="M2091" t="s">
        <v>68</v>
      </c>
      <c r="N2091" t="str">
        <f t="shared" si="269"/>
        <v>ALTFIN</v>
      </c>
      <c r="O2091" t="s">
        <v>102</v>
      </c>
      <c r="P2091" t="s">
        <v>83</v>
      </c>
      <c r="Q2091">
        <v>2017</v>
      </c>
      <c r="R2091" s="4">
        <v>42786</v>
      </c>
      <c r="S2091" s="2">
        <v>42787</v>
      </c>
      <c r="T2091" s="2">
        <v>42787</v>
      </c>
      <c r="U2091" s="4">
        <v>42847</v>
      </c>
      <c r="V2091" t="s">
        <v>71</v>
      </c>
      <c r="W2091" t="str">
        <f>"                0220"</f>
        <v xml:space="preserve">                0220</v>
      </c>
      <c r="X2091">
        <v>0</v>
      </c>
      <c r="Y2091" s="1">
        <v>1108</v>
      </c>
      <c r="Z2091" s="5">
        <v>1108</v>
      </c>
      <c r="AA2091" s="3">
        <v>-60</v>
      </c>
      <c r="AB2091" s="5">
        <v>-66480</v>
      </c>
      <c r="AC2091" s="1">
        <v>1108</v>
      </c>
      <c r="AD2091">
        <v>-60</v>
      </c>
      <c r="AE2091" s="1">
        <v>-66480</v>
      </c>
      <c r="AF2091">
        <v>0</v>
      </c>
      <c r="AJ2091" s="1">
        <v>1108</v>
      </c>
      <c r="AK2091" s="1">
        <v>1108</v>
      </c>
      <c r="AL2091" s="1">
        <v>1108</v>
      </c>
      <c r="AM2091" s="1">
        <v>1108</v>
      </c>
      <c r="AN2091" s="1">
        <v>1108</v>
      </c>
      <c r="AO2091" s="1">
        <v>1108</v>
      </c>
      <c r="AP2091" s="2">
        <v>42831</v>
      </c>
      <c r="AQ2091" t="s">
        <v>72</v>
      </c>
      <c r="AR2091" t="s">
        <v>72</v>
      </c>
      <c r="AS2091">
        <v>550</v>
      </c>
      <c r="AT2091" s="4">
        <v>42787</v>
      </c>
      <c r="AV2091">
        <v>550</v>
      </c>
      <c r="AW2091" s="4">
        <v>42787</v>
      </c>
      <c r="BD2091">
        <v>0</v>
      </c>
      <c r="BN2091" t="s">
        <v>74</v>
      </c>
    </row>
    <row r="2092" spans="1:66" hidden="1">
      <c r="A2092">
        <v>104663</v>
      </c>
      <c r="B2092" t="s">
        <v>427</v>
      </c>
      <c r="C2092" s="1">
        <v>43500101</v>
      </c>
      <c r="D2092" t="s">
        <v>98</v>
      </c>
      <c r="H2092" t="str">
        <f t="shared" si="268"/>
        <v>03436130243</v>
      </c>
      <c r="I2092" t="str">
        <f t="shared" si="268"/>
        <v>03436130243</v>
      </c>
      <c r="K2092" t="str">
        <f>""</f>
        <v/>
      </c>
      <c r="M2092" t="s">
        <v>68</v>
      </c>
      <c r="N2092" t="str">
        <f t="shared" si="269"/>
        <v>ALTFIN</v>
      </c>
      <c r="O2092" t="s">
        <v>102</v>
      </c>
      <c r="P2092" t="s">
        <v>84</v>
      </c>
      <c r="Q2092">
        <v>2017</v>
      </c>
      <c r="R2092" s="4">
        <v>42815</v>
      </c>
      <c r="S2092" s="2">
        <v>42815</v>
      </c>
      <c r="T2092" s="2">
        <v>42815</v>
      </c>
      <c r="U2092" s="4">
        <v>42875</v>
      </c>
      <c r="V2092" t="s">
        <v>71</v>
      </c>
      <c r="W2092" t="str">
        <f>"                0321"</f>
        <v xml:space="preserve">                0321</v>
      </c>
      <c r="X2092">
        <v>0</v>
      </c>
      <c r="Y2092" s="1">
        <v>1108</v>
      </c>
      <c r="Z2092" s="5">
        <v>1108</v>
      </c>
      <c r="AA2092" s="3">
        <v>-60</v>
      </c>
      <c r="AB2092" s="5">
        <v>-66480</v>
      </c>
      <c r="AC2092" s="1">
        <v>1108</v>
      </c>
      <c r="AD2092">
        <v>-60</v>
      </c>
      <c r="AE2092" s="1">
        <v>-66480</v>
      </c>
      <c r="AF2092">
        <v>0</v>
      </c>
      <c r="AJ2092" s="1">
        <v>1108</v>
      </c>
      <c r="AK2092" s="1">
        <v>1108</v>
      </c>
      <c r="AL2092" s="1">
        <v>1108</v>
      </c>
      <c r="AM2092" s="1">
        <v>1108</v>
      </c>
      <c r="AN2092" s="1">
        <v>1108</v>
      </c>
      <c r="AO2092" s="1">
        <v>1108</v>
      </c>
      <c r="AP2092" s="2">
        <v>42831</v>
      </c>
      <c r="AQ2092" t="s">
        <v>72</v>
      </c>
      <c r="AR2092" t="s">
        <v>72</v>
      </c>
      <c r="AS2092">
        <v>847</v>
      </c>
      <c r="AT2092" s="4">
        <v>42815</v>
      </c>
      <c r="AV2092">
        <v>847</v>
      </c>
      <c r="AW2092" s="4">
        <v>42815</v>
      </c>
      <c r="BD2092">
        <v>0</v>
      </c>
      <c r="BN2092" t="s">
        <v>74</v>
      </c>
    </row>
    <row r="2093" spans="1:66" hidden="1">
      <c r="A2093">
        <v>104666</v>
      </c>
      <c r="B2093" t="s">
        <v>428</v>
      </c>
      <c r="C2093" s="1">
        <v>43500101</v>
      </c>
      <c r="D2093" t="s">
        <v>98</v>
      </c>
      <c r="H2093" t="str">
        <f t="shared" ref="H2093:I2095" si="270">"02875460244"</f>
        <v>02875460244</v>
      </c>
      <c r="I2093" t="str">
        <f t="shared" si="270"/>
        <v>02875460244</v>
      </c>
      <c r="K2093" t="str">
        <f>""</f>
        <v/>
      </c>
      <c r="M2093" t="s">
        <v>68</v>
      </c>
      <c r="N2093" t="str">
        <f t="shared" si="269"/>
        <v>ALTFIN</v>
      </c>
      <c r="O2093" t="s">
        <v>102</v>
      </c>
      <c r="P2093" t="s">
        <v>82</v>
      </c>
      <c r="Q2093">
        <v>2017</v>
      </c>
      <c r="R2093" s="4">
        <v>42755</v>
      </c>
      <c r="S2093" s="2">
        <v>42755</v>
      </c>
      <c r="T2093" s="2">
        <v>42755</v>
      </c>
      <c r="U2093" s="4">
        <v>42815</v>
      </c>
      <c r="V2093" t="s">
        <v>71</v>
      </c>
      <c r="W2093" t="str">
        <f>"                0120"</f>
        <v xml:space="preserve">                0120</v>
      </c>
      <c r="X2093">
        <v>0</v>
      </c>
      <c r="Y2093">
        <v>666</v>
      </c>
      <c r="Z2093" s="3">
        <v>666</v>
      </c>
      <c r="AA2093" s="3">
        <v>-57</v>
      </c>
      <c r="AB2093" s="5">
        <v>-37962</v>
      </c>
      <c r="AC2093">
        <v>666</v>
      </c>
      <c r="AD2093">
        <v>-57</v>
      </c>
      <c r="AE2093" s="1">
        <v>-37962</v>
      </c>
      <c r="AF2093">
        <v>0</v>
      </c>
      <c r="AJ2093">
        <v>666</v>
      </c>
      <c r="AK2093">
        <v>666</v>
      </c>
      <c r="AL2093">
        <v>666</v>
      </c>
      <c r="AM2093">
        <v>666</v>
      </c>
      <c r="AN2093">
        <v>666</v>
      </c>
      <c r="AO2093">
        <v>666</v>
      </c>
      <c r="AP2093" s="2">
        <v>42831</v>
      </c>
      <c r="AQ2093" t="s">
        <v>72</v>
      </c>
      <c r="AR2093" t="s">
        <v>72</v>
      </c>
      <c r="AS2093">
        <v>71</v>
      </c>
      <c r="AT2093" s="4">
        <v>42758</v>
      </c>
      <c r="AV2093">
        <v>71</v>
      </c>
      <c r="AW2093" s="4">
        <v>42758</v>
      </c>
      <c r="BD2093">
        <v>0</v>
      </c>
      <c r="BN2093" t="s">
        <v>74</v>
      </c>
    </row>
    <row r="2094" spans="1:66" hidden="1">
      <c r="A2094">
        <v>104666</v>
      </c>
      <c r="B2094" t="s">
        <v>428</v>
      </c>
      <c r="C2094" s="1">
        <v>43500101</v>
      </c>
      <c r="D2094" t="s">
        <v>98</v>
      </c>
      <c r="H2094" t="str">
        <f t="shared" si="270"/>
        <v>02875460244</v>
      </c>
      <c r="I2094" t="str">
        <f t="shared" si="270"/>
        <v>02875460244</v>
      </c>
      <c r="K2094" t="str">
        <f>""</f>
        <v/>
      </c>
      <c r="M2094" t="s">
        <v>68</v>
      </c>
      <c r="N2094" t="str">
        <f t="shared" si="269"/>
        <v>ALTFIN</v>
      </c>
      <c r="O2094" t="s">
        <v>102</v>
      </c>
      <c r="P2094" t="s">
        <v>83</v>
      </c>
      <c r="Q2094">
        <v>2017</v>
      </c>
      <c r="R2094" s="4">
        <v>42786</v>
      </c>
      <c r="S2094" s="2">
        <v>42787</v>
      </c>
      <c r="T2094" s="2">
        <v>42787</v>
      </c>
      <c r="U2094" s="4">
        <v>42847</v>
      </c>
      <c r="V2094" t="s">
        <v>71</v>
      </c>
      <c r="W2094" t="str">
        <f>"                0220"</f>
        <v xml:space="preserve">                0220</v>
      </c>
      <c r="X2094">
        <v>0</v>
      </c>
      <c r="Y2094">
        <v>666</v>
      </c>
      <c r="Z2094" s="3">
        <v>666</v>
      </c>
      <c r="AA2094" s="3">
        <v>-60</v>
      </c>
      <c r="AB2094" s="5">
        <v>-39960</v>
      </c>
      <c r="AC2094">
        <v>666</v>
      </c>
      <c r="AD2094">
        <v>-60</v>
      </c>
      <c r="AE2094" s="1">
        <v>-39960</v>
      </c>
      <c r="AF2094">
        <v>0</v>
      </c>
      <c r="AJ2094">
        <v>666</v>
      </c>
      <c r="AK2094">
        <v>666</v>
      </c>
      <c r="AL2094">
        <v>666</v>
      </c>
      <c r="AM2094">
        <v>666</v>
      </c>
      <c r="AN2094">
        <v>666</v>
      </c>
      <c r="AO2094">
        <v>666</v>
      </c>
      <c r="AP2094" s="2">
        <v>42831</v>
      </c>
      <c r="AQ2094" t="s">
        <v>72</v>
      </c>
      <c r="AR2094" t="s">
        <v>72</v>
      </c>
      <c r="AS2094">
        <v>551</v>
      </c>
      <c r="AT2094" s="4">
        <v>42787</v>
      </c>
      <c r="AV2094">
        <v>551</v>
      </c>
      <c r="AW2094" s="4">
        <v>42787</v>
      </c>
      <c r="BD2094">
        <v>0</v>
      </c>
      <c r="BN2094" t="s">
        <v>74</v>
      </c>
    </row>
    <row r="2095" spans="1:66" hidden="1">
      <c r="A2095">
        <v>104666</v>
      </c>
      <c r="B2095" t="s">
        <v>428</v>
      </c>
      <c r="C2095" s="1">
        <v>43500101</v>
      </c>
      <c r="D2095" t="s">
        <v>98</v>
      </c>
      <c r="H2095" t="str">
        <f t="shared" si="270"/>
        <v>02875460244</v>
      </c>
      <c r="I2095" t="str">
        <f t="shared" si="270"/>
        <v>02875460244</v>
      </c>
      <c r="K2095" t="str">
        <f>""</f>
        <v/>
      </c>
      <c r="M2095" t="s">
        <v>68</v>
      </c>
      <c r="N2095" t="str">
        <f t="shared" si="269"/>
        <v>ALTFIN</v>
      </c>
      <c r="O2095" t="s">
        <v>102</v>
      </c>
      <c r="P2095" t="s">
        <v>84</v>
      </c>
      <c r="Q2095">
        <v>2017</v>
      </c>
      <c r="R2095" s="4">
        <v>42815</v>
      </c>
      <c r="S2095" s="2">
        <v>42815</v>
      </c>
      <c r="T2095" s="2">
        <v>42815</v>
      </c>
      <c r="U2095" s="4">
        <v>42875</v>
      </c>
      <c r="V2095" t="s">
        <v>71</v>
      </c>
      <c r="W2095" t="str">
        <f>"                0321"</f>
        <v xml:space="preserve">                0321</v>
      </c>
      <c r="X2095">
        <v>0</v>
      </c>
      <c r="Y2095">
        <v>666</v>
      </c>
      <c r="Z2095" s="3">
        <v>666</v>
      </c>
      <c r="AA2095" s="3">
        <v>-60</v>
      </c>
      <c r="AB2095" s="5">
        <v>-39960</v>
      </c>
      <c r="AC2095">
        <v>666</v>
      </c>
      <c r="AD2095">
        <v>-60</v>
      </c>
      <c r="AE2095" s="1">
        <v>-39960</v>
      </c>
      <c r="AF2095">
        <v>0</v>
      </c>
      <c r="AJ2095">
        <v>666</v>
      </c>
      <c r="AK2095">
        <v>666</v>
      </c>
      <c r="AL2095">
        <v>666</v>
      </c>
      <c r="AM2095">
        <v>666</v>
      </c>
      <c r="AN2095">
        <v>666</v>
      </c>
      <c r="AO2095">
        <v>666</v>
      </c>
      <c r="AP2095" s="2">
        <v>42831</v>
      </c>
      <c r="AQ2095" t="s">
        <v>72</v>
      </c>
      <c r="AR2095" t="s">
        <v>72</v>
      </c>
      <c r="AS2095">
        <v>848</v>
      </c>
      <c r="AT2095" s="4">
        <v>42815</v>
      </c>
      <c r="AV2095">
        <v>848</v>
      </c>
      <c r="AW2095" s="4">
        <v>42815</v>
      </c>
      <c r="BD2095">
        <v>0</v>
      </c>
      <c r="BN2095" t="s">
        <v>74</v>
      </c>
    </row>
    <row r="2096" spans="1:66">
      <c r="A2096">
        <v>104671</v>
      </c>
      <c r="B2096" t="s">
        <v>429</v>
      </c>
      <c r="C2096" s="1">
        <v>43300101</v>
      </c>
      <c r="D2096" t="s">
        <v>67</v>
      </c>
      <c r="H2096" t="str">
        <f>"06615460968"</f>
        <v>06615460968</v>
      </c>
      <c r="I2096" t="str">
        <f>"06615460968"</f>
        <v>06615460968</v>
      </c>
      <c r="K2096" t="str">
        <f>""</f>
        <v/>
      </c>
      <c r="M2096" t="s">
        <v>68</v>
      </c>
      <c r="N2096" t="str">
        <f>"FOR"</f>
        <v>FOR</v>
      </c>
      <c r="O2096" t="s">
        <v>69</v>
      </c>
      <c r="P2096" t="s">
        <v>75</v>
      </c>
      <c r="Q2096">
        <v>2017</v>
      </c>
      <c r="R2096" s="4">
        <v>42776</v>
      </c>
      <c r="S2096" s="2">
        <v>42776</v>
      </c>
      <c r="T2096" s="2">
        <v>42776</v>
      </c>
      <c r="U2096" s="4">
        <v>42836</v>
      </c>
      <c r="V2096" t="s">
        <v>71</v>
      </c>
      <c r="W2096" t="str">
        <f>"    Fattura-2017-639"</f>
        <v xml:space="preserve">    Fattura-2017-639</v>
      </c>
      <c r="X2096" s="1">
        <v>6106.94</v>
      </c>
      <c r="Y2096">
        <v>0</v>
      </c>
      <c r="Z2096" s="5">
        <v>5005.6899999999996</v>
      </c>
      <c r="AA2096" s="3">
        <v>-60</v>
      </c>
      <c r="AB2096" s="5">
        <v>-300341.40000000002</v>
      </c>
      <c r="AC2096" s="1">
        <v>5005.6899999999996</v>
      </c>
      <c r="AD2096">
        <v>-60</v>
      </c>
      <c r="AE2096" s="1">
        <v>-300341.40000000002</v>
      </c>
      <c r="AF2096">
        <v>0</v>
      </c>
      <c r="AJ2096" s="1">
        <v>6106.94</v>
      </c>
      <c r="AK2096" s="1">
        <v>6106.94</v>
      </c>
      <c r="AL2096" s="1">
        <v>6106.94</v>
      </c>
      <c r="AM2096" s="1">
        <v>6106.94</v>
      </c>
      <c r="AN2096" s="1">
        <v>6106.94</v>
      </c>
      <c r="AO2096" s="1">
        <v>6106.94</v>
      </c>
      <c r="AP2096" s="2">
        <v>42831</v>
      </c>
      <c r="AQ2096" t="s">
        <v>72</v>
      </c>
      <c r="AR2096" t="s">
        <v>72</v>
      </c>
      <c r="AS2096">
        <v>407</v>
      </c>
      <c r="AT2096" s="4">
        <v>42776</v>
      </c>
      <c r="AV2096">
        <v>407</v>
      </c>
      <c r="AW2096" s="4">
        <v>42776</v>
      </c>
      <c r="BD2096">
        <v>0</v>
      </c>
      <c r="BN2096" t="s">
        <v>74</v>
      </c>
    </row>
    <row r="2097" spans="1:66" hidden="1">
      <c r="A2097">
        <v>104677</v>
      </c>
      <c r="B2097" t="s">
        <v>430</v>
      </c>
      <c r="C2097" s="1">
        <v>43500101</v>
      </c>
      <c r="D2097" t="s">
        <v>98</v>
      </c>
      <c r="H2097" t="str">
        <f t="shared" ref="H2097:I2099" si="271">"01583450901"</f>
        <v>01583450901</v>
      </c>
      <c r="I2097" t="str">
        <f t="shared" si="271"/>
        <v>01583450901</v>
      </c>
      <c r="K2097" t="str">
        <f>""</f>
        <v/>
      </c>
      <c r="M2097" t="s">
        <v>68</v>
      </c>
      <c r="N2097" t="str">
        <f>"ALTFIN"</f>
        <v>ALTFIN</v>
      </c>
      <c r="O2097" t="s">
        <v>102</v>
      </c>
      <c r="P2097" t="s">
        <v>82</v>
      </c>
      <c r="Q2097">
        <v>2017</v>
      </c>
      <c r="R2097" s="4">
        <v>42755</v>
      </c>
      <c r="S2097" s="2">
        <v>42755</v>
      </c>
      <c r="T2097" s="2">
        <v>42755</v>
      </c>
      <c r="U2097" s="4">
        <v>42815</v>
      </c>
      <c r="V2097" t="s">
        <v>71</v>
      </c>
      <c r="W2097" t="str">
        <f>"                0120"</f>
        <v xml:space="preserve">                0120</v>
      </c>
      <c r="X2097">
        <v>0</v>
      </c>
      <c r="Y2097">
        <v>300</v>
      </c>
      <c r="Z2097" s="3">
        <v>300</v>
      </c>
      <c r="AA2097" s="3">
        <v>-57</v>
      </c>
      <c r="AB2097" s="5">
        <v>-17100</v>
      </c>
      <c r="AC2097">
        <v>300</v>
      </c>
      <c r="AD2097">
        <v>-57</v>
      </c>
      <c r="AE2097" s="1">
        <v>-17100</v>
      </c>
      <c r="AF2097">
        <v>0</v>
      </c>
      <c r="AJ2097">
        <v>300</v>
      </c>
      <c r="AK2097">
        <v>300</v>
      </c>
      <c r="AL2097">
        <v>300</v>
      </c>
      <c r="AM2097">
        <v>300</v>
      </c>
      <c r="AN2097">
        <v>300</v>
      </c>
      <c r="AO2097">
        <v>300</v>
      </c>
      <c r="AP2097" s="2">
        <v>42831</v>
      </c>
      <c r="AQ2097" t="s">
        <v>72</v>
      </c>
      <c r="AR2097" t="s">
        <v>72</v>
      </c>
      <c r="AS2097">
        <v>72</v>
      </c>
      <c r="AT2097" s="4">
        <v>42758</v>
      </c>
      <c r="AV2097">
        <v>72</v>
      </c>
      <c r="AW2097" s="4">
        <v>42758</v>
      </c>
      <c r="BD2097">
        <v>0</v>
      </c>
      <c r="BN2097" t="s">
        <v>74</v>
      </c>
    </row>
    <row r="2098" spans="1:66" hidden="1">
      <c r="A2098">
        <v>104677</v>
      </c>
      <c r="B2098" t="s">
        <v>430</v>
      </c>
      <c r="C2098" s="1">
        <v>43500101</v>
      </c>
      <c r="D2098" t="s">
        <v>98</v>
      </c>
      <c r="H2098" t="str">
        <f t="shared" si="271"/>
        <v>01583450901</v>
      </c>
      <c r="I2098" t="str">
        <f t="shared" si="271"/>
        <v>01583450901</v>
      </c>
      <c r="K2098" t="str">
        <f>""</f>
        <v/>
      </c>
      <c r="M2098" t="s">
        <v>68</v>
      </c>
      <c r="N2098" t="str">
        <f>"ALTFIN"</f>
        <v>ALTFIN</v>
      </c>
      <c r="O2098" t="s">
        <v>102</v>
      </c>
      <c r="P2098" t="s">
        <v>83</v>
      </c>
      <c r="Q2098">
        <v>2017</v>
      </c>
      <c r="R2098" s="4">
        <v>42786</v>
      </c>
      <c r="S2098" s="2">
        <v>42787</v>
      </c>
      <c r="T2098" s="2">
        <v>42787</v>
      </c>
      <c r="U2098" s="4">
        <v>42847</v>
      </c>
      <c r="V2098" t="s">
        <v>71</v>
      </c>
      <c r="W2098" t="str">
        <f>"                0220"</f>
        <v xml:space="preserve">                0220</v>
      </c>
      <c r="X2098">
        <v>0</v>
      </c>
      <c r="Y2098">
        <v>300</v>
      </c>
      <c r="Z2098" s="3">
        <v>300</v>
      </c>
      <c r="AA2098" s="3">
        <v>-60</v>
      </c>
      <c r="AB2098" s="5">
        <v>-18000</v>
      </c>
      <c r="AC2098">
        <v>300</v>
      </c>
      <c r="AD2098">
        <v>-60</v>
      </c>
      <c r="AE2098" s="1">
        <v>-18000</v>
      </c>
      <c r="AF2098">
        <v>0</v>
      </c>
      <c r="AJ2098">
        <v>300</v>
      </c>
      <c r="AK2098">
        <v>300</v>
      </c>
      <c r="AL2098">
        <v>300</v>
      </c>
      <c r="AM2098">
        <v>300</v>
      </c>
      <c r="AN2098">
        <v>300</v>
      </c>
      <c r="AO2098">
        <v>300</v>
      </c>
      <c r="AP2098" s="2">
        <v>42831</v>
      </c>
      <c r="AQ2098" t="s">
        <v>72</v>
      </c>
      <c r="AR2098" t="s">
        <v>72</v>
      </c>
      <c r="AS2098">
        <v>552</v>
      </c>
      <c r="AT2098" s="4">
        <v>42787</v>
      </c>
      <c r="AV2098">
        <v>552</v>
      </c>
      <c r="AW2098" s="4">
        <v>42787</v>
      </c>
      <c r="BD2098">
        <v>0</v>
      </c>
      <c r="BN2098" t="s">
        <v>74</v>
      </c>
    </row>
    <row r="2099" spans="1:66" hidden="1">
      <c r="A2099">
        <v>104677</v>
      </c>
      <c r="B2099" t="s">
        <v>430</v>
      </c>
      <c r="C2099" s="1">
        <v>43500101</v>
      </c>
      <c r="D2099" t="s">
        <v>98</v>
      </c>
      <c r="H2099" t="str">
        <f t="shared" si="271"/>
        <v>01583450901</v>
      </c>
      <c r="I2099" t="str">
        <f t="shared" si="271"/>
        <v>01583450901</v>
      </c>
      <c r="K2099" t="str">
        <f>""</f>
        <v/>
      </c>
      <c r="M2099" t="s">
        <v>68</v>
      </c>
      <c r="N2099" t="str">
        <f>"ALTFIN"</f>
        <v>ALTFIN</v>
      </c>
      <c r="O2099" t="s">
        <v>102</v>
      </c>
      <c r="P2099" t="s">
        <v>84</v>
      </c>
      <c r="Q2099">
        <v>2017</v>
      </c>
      <c r="R2099" s="4">
        <v>42815</v>
      </c>
      <c r="S2099" s="2">
        <v>42815</v>
      </c>
      <c r="T2099" s="2">
        <v>42815</v>
      </c>
      <c r="U2099" s="4">
        <v>42875</v>
      </c>
      <c r="V2099" t="s">
        <v>71</v>
      </c>
      <c r="W2099" t="str">
        <f>"                0321"</f>
        <v xml:space="preserve">                0321</v>
      </c>
      <c r="X2099">
        <v>0</v>
      </c>
      <c r="Y2099">
        <v>300</v>
      </c>
      <c r="Z2099" s="3">
        <v>300</v>
      </c>
      <c r="AA2099" s="3">
        <v>-60</v>
      </c>
      <c r="AB2099" s="5">
        <v>-18000</v>
      </c>
      <c r="AC2099">
        <v>300</v>
      </c>
      <c r="AD2099">
        <v>-60</v>
      </c>
      <c r="AE2099" s="1">
        <v>-18000</v>
      </c>
      <c r="AF2099">
        <v>0</v>
      </c>
      <c r="AJ2099">
        <v>300</v>
      </c>
      <c r="AK2099">
        <v>300</v>
      </c>
      <c r="AL2099">
        <v>300</v>
      </c>
      <c r="AM2099">
        <v>300</v>
      </c>
      <c r="AN2099">
        <v>300</v>
      </c>
      <c r="AO2099">
        <v>300</v>
      </c>
      <c r="AP2099" s="2">
        <v>42831</v>
      </c>
      <c r="AQ2099" t="s">
        <v>72</v>
      </c>
      <c r="AR2099" t="s">
        <v>72</v>
      </c>
      <c r="AS2099">
        <v>849</v>
      </c>
      <c r="AT2099" s="4">
        <v>42815</v>
      </c>
      <c r="AV2099">
        <v>849</v>
      </c>
      <c r="AW2099" s="4">
        <v>42815</v>
      </c>
      <c r="BD2099">
        <v>0</v>
      </c>
      <c r="BN2099" t="s">
        <v>74</v>
      </c>
    </row>
    <row r="2100" spans="1:66">
      <c r="A2100">
        <v>104689</v>
      </c>
      <c r="B2100" t="s">
        <v>431</v>
      </c>
      <c r="C2100" s="1">
        <v>43300101</v>
      </c>
      <c r="D2100" t="s">
        <v>67</v>
      </c>
      <c r="H2100" t="str">
        <f t="shared" ref="H2100:I2103" si="272">"06537350636"</f>
        <v>06537350636</v>
      </c>
      <c r="I2100" t="str">
        <f t="shared" si="272"/>
        <v>06537350636</v>
      </c>
      <c r="K2100" t="str">
        <f>""</f>
        <v/>
      </c>
      <c r="M2100" t="s">
        <v>68</v>
      </c>
      <c r="N2100" t="str">
        <f>"FOR"</f>
        <v>FOR</v>
      </c>
      <c r="O2100" t="s">
        <v>69</v>
      </c>
      <c r="P2100" t="s">
        <v>75</v>
      </c>
      <c r="Q2100">
        <v>2016</v>
      </c>
      <c r="R2100" s="4">
        <v>42466</v>
      </c>
      <c r="S2100" s="2">
        <v>42467</v>
      </c>
      <c r="T2100" s="2">
        <v>42467</v>
      </c>
      <c r="U2100" s="4">
        <v>42527</v>
      </c>
      <c r="V2100" t="s">
        <v>71</v>
      </c>
      <c r="W2100" t="str">
        <f>"               124PA"</f>
        <v xml:space="preserve">               124PA</v>
      </c>
      <c r="X2100" s="1">
        <v>6359.25</v>
      </c>
      <c r="Y2100">
        <v>0</v>
      </c>
      <c r="Z2100" s="5">
        <v>5212.5</v>
      </c>
      <c r="AA2100" s="3">
        <v>241</v>
      </c>
      <c r="AB2100" s="5">
        <v>1256212.5</v>
      </c>
      <c r="AC2100" s="1">
        <v>5212.5</v>
      </c>
      <c r="AD2100">
        <v>241</v>
      </c>
      <c r="AE2100" s="1">
        <v>1256212.5</v>
      </c>
      <c r="AF2100">
        <v>0</v>
      </c>
      <c r="AJ2100">
        <v>0</v>
      </c>
      <c r="AK2100">
        <v>0</v>
      </c>
      <c r="AL2100">
        <v>0</v>
      </c>
      <c r="AM2100">
        <v>0</v>
      </c>
      <c r="AN2100">
        <v>0</v>
      </c>
      <c r="AO2100">
        <v>0</v>
      </c>
      <c r="AP2100" s="2">
        <v>42831</v>
      </c>
      <c r="AQ2100" t="s">
        <v>72</v>
      </c>
      <c r="AR2100" t="s">
        <v>72</v>
      </c>
      <c r="AS2100">
        <v>262</v>
      </c>
      <c r="AT2100" s="4">
        <v>42768</v>
      </c>
      <c r="AU2100" t="s">
        <v>73</v>
      </c>
      <c r="AV2100">
        <v>262</v>
      </c>
      <c r="AW2100" s="4">
        <v>42768</v>
      </c>
      <c r="BD2100">
        <v>0</v>
      </c>
      <c r="BN2100" t="s">
        <v>74</v>
      </c>
    </row>
    <row r="2101" spans="1:66">
      <c r="A2101">
        <v>104689</v>
      </c>
      <c r="B2101" t="s">
        <v>431</v>
      </c>
      <c r="C2101" s="1">
        <v>43300101</v>
      </c>
      <c r="D2101" t="s">
        <v>67</v>
      </c>
      <c r="H2101" t="str">
        <f t="shared" si="272"/>
        <v>06537350636</v>
      </c>
      <c r="I2101" t="str">
        <f t="shared" si="272"/>
        <v>06537350636</v>
      </c>
      <c r="K2101" t="str">
        <f>""</f>
        <v/>
      </c>
      <c r="M2101" t="s">
        <v>68</v>
      </c>
      <c r="N2101" t="str">
        <f>"FOR"</f>
        <v>FOR</v>
      </c>
      <c r="O2101" t="s">
        <v>69</v>
      </c>
      <c r="P2101" t="s">
        <v>75</v>
      </c>
      <c r="Q2101">
        <v>2016</v>
      </c>
      <c r="R2101" s="4">
        <v>42466</v>
      </c>
      <c r="S2101" s="2">
        <v>42467</v>
      </c>
      <c r="T2101" s="2">
        <v>42467</v>
      </c>
      <c r="U2101" s="4">
        <v>42527</v>
      </c>
      <c r="V2101" t="s">
        <v>71</v>
      </c>
      <c r="W2101" t="str">
        <f>"               125PA"</f>
        <v xml:space="preserve">               125PA</v>
      </c>
      <c r="X2101">
        <v>472.75</v>
      </c>
      <c r="Y2101">
        <v>0</v>
      </c>
      <c r="Z2101" s="5">
        <v>387.5</v>
      </c>
      <c r="AA2101" s="3">
        <v>241</v>
      </c>
      <c r="AB2101" s="5">
        <v>93387.5</v>
      </c>
      <c r="AC2101">
        <v>387.5</v>
      </c>
      <c r="AD2101">
        <v>241</v>
      </c>
      <c r="AE2101" s="1">
        <v>93387.5</v>
      </c>
      <c r="AF2101">
        <v>0</v>
      </c>
      <c r="AJ2101">
        <v>0</v>
      </c>
      <c r="AK2101">
        <v>0</v>
      </c>
      <c r="AL2101">
        <v>0</v>
      </c>
      <c r="AM2101">
        <v>0</v>
      </c>
      <c r="AN2101">
        <v>0</v>
      </c>
      <c r="AO2101">
        <v>0</v>
      </c>
      <c r="AP2101" s="2">
        <v>42831</v>
      </c>
      <c r="AQ2101" t="s">
        <v>72</v>
      </c>
      <c r="AR2101" t="s">
        <v>72</v>
      </c>
      <c r="AS2101">
        <v>262</v>
      </c>
      <c r="AT2101" s="4">
        <v>42768</v>
      </c>
      <c r="AU2101" t="s">
        <v>73</v>
      </c>
      <c r="AV2101">
        <v>262</v>
      </c>
      <c r="AW2101" s="4">
        <v>42768</v>
      </c>
      <c r="BD2101">
        <v>0</v>
      </c>
      <c r="BN2101" t="s">
        <v>74</v>
      </c>
    </row>
    <row r="2102" spans="1:66">
      <c r="A2102">
        <v>104689</v>
      </c>
      <c r="B2102" t="s">
        <v>431</v>
      </c>
      <c r="C2102" s="1">
        <v>43300101</v>
      </c>
      <c r="D2102" t="s">
        <v>67</v>
      </c>
      <c r="H2102" t="str">
        <f t="shared" si="272"/>
        <v>06537350636</v>
      </c>
      <c r="I2102" t="str">
        <f t="shared" si="272"/>
        <v>06537350636</v>
      </c>
      <c r="K2102" t="str">
        <f>""</f>
        <v/>
      </c>
      <c r="M2102" t="s">
        <v>68</v>
      </c>
      <c r="N2102" t="str">
        <f>"FOR"</f>
        <v>FOR</v>
      </c>
      <c r="O2102" t="s">
        <v>69</v>
      </c>
      <c r="P2102" t="s">
        <v>75</v>
      </c>
      <c r="Q2102">
        <v>2016</v>
      </c>
      <c r="R2102" s="4">
        <v>42513</v>
      </c>
      <c r="S2102" s="2">
        <v>42513</v>
      </c>
      <c r="T2102" s="2">
        <v>42513</v>
      </c>
      <c r="U2102" s="4">
        <v>42573</v>
      </c>
      <c r="V2102" t="s">
        <v>71</v>
      </c>
      <c r="W2102" t="str">
        <f>"               161PA"</f>
        <v xml:space="preserve">               161PA</v>
      </c>
      <c r="X2102" s="1">
        <v>4087</v>
      </c>
      <c r="Y2102">
        <v>0</v>
      </c>
      <c r="Z2102" s="5">
        <v>3350</v>
      </c>
      <c r="AA2102" s="3">
        <v>195</v>
      </c>
      <c r="AB2102" s="5">
        <v>653250</v>
      </c>
      <c r="AC2102" s="1">
        <v>3350</v>
      </c>
      <c r="AD2102">
        <v>195</v>
      </c>
      <c r="AE2102" s="1">
        <v>653250</v>
      </c>
      <c r="AF2102">
        <v>0</v>
      </c>
      <c r="AJ2102">
        <v>0</v>
      </c>
      <c r="AK2102">
        <v>0</v>
      </c>
      <c r="AL2102">
        <v>0</v>
      </c>
      <c r="AM2102">
        <v>0</v>
      </c>
      <c r="AN2102">
        <v>0</v>
      </c>
      <c r="AO2102">
        <v>0</v>
      </c>
      <c r="AP2102" s="2">
        <v>42831</v>
      </c>
      <c r="AQ2102" t="s">
        <v>72</v>
      </c>
      <c r="AR2102" t="s">
        <v>72</v>
      </c>
      <c r="AS2102">
        <v>262</v>
      </c>
      <c r="AT2102" s="4">
        <v>42768</v>
      </c>
      <c r="AU2102" t="s">
        <v>73</v>
      </c>
      <c r="AV2102">
        <v>262</v>
      </c>
      <c r="AW2102" s="4">
        <v>42768</v>
      </c>
      <c r="BD2102">
        <v>0</v>
      </c>
      <c r="BN2102" t="s">
        <v>74</v>
      </c>
    </row>
    <row r="2103" spans="1:66">
      <c r="A2103">
        <v>104689</v>
      </c>
      <c r="B2103" t="s">
        <v>431</v>
      </c>
      <c r="C2103" s="1">
        <v>43300101</v>
      </c>
      <c r="D2103" t="s">
        <v>67</v>
      </c>
      <c r="H2103" t="str">
        <f t="shared" si="272"/>
        <v>06537350636</v>
      </c>
      <c r="I2103" t="str">
        <f t="shared" si="272"/>
        <v>06537350636</v>
      </c>
      <c r="K2103" t="str">
        <f>""</f>
        <v/>
      </c>
      <c r="M2103" t="s">
        <v>68</v>
      </c>
      <c r="N2103" t="str">
        <f>"FOR"</f>
        <v>FOR</v>
      </c>
      <c r="O2103" t="s">
        <v>69</v>
      </c>
      <c r="P2103" t="s">
        <v>75</v>
      </c>
      <c r="Q2103">
        <v>2016</v>
      </c>
      <c r="R2103" s="4">
        <v>42522</v>
      </c>
      <c r="S2103" s="2">
        <v>42527</v>
      </c>
      <c r="T2103" s="2">
        <v>42527</v>
      </c>
      <c r="U2103" s="4">
        <v>42587</v>
      </c>
      <c r="V2103" t="s">
        <v>71</v>
      </c>
      <c r="W2103" t="str">
        <f>"               165PA"</f>
        <v xml:space="preserve">               165PA</v>
      </c>
      <c r="X2103" s="1">
        <v>1159</v>
      </c>
      <c r="Y2103">
        <v>0</v>
      </c>
      <c r="Z2103" s="5">
        <v>950</v>
      </c>
      <c r="AA2103" s="3">
        <v>181</v>
      </c>
      <c r="AB2103" s="5">
        <v>171950</v>
      </c>
      <c r="AC2103">
        <v>950</v>
      </c>
      <c r="AD2103">
        <v>181</v>
      </c>
      <c r="AE2103" s="1">
        <v>171950</v>
      </c>
      <c r="AF2103">
        <v>0</v>
      </c>
      <c r="AJ2103">
        <v>0</v>
      </c>
      <c r="AK2103">
        <v>0</v>
      </c>
      <c r="AL2103">
        <v>0</v>
      </c>
      <c r="AM2103">
        <v>0</v>
      </c>
      <c r="AN2103">
        <v>0</v>
      </c>
      <c r="AO2103">
        <v>0</v>
      </c>
      <c r="AP2103" s="2">
        <v>42831</v>
      </c>
      <c r="AQ2103" t="s">
        <v>72</v>
      </c>
      <c r="AR2103" t="s">
        <v>72</v>
      </c>
      <c r="AS2103">
        <v>262</v>
      </c>
      <c r="AT2103" s="4">
        <v>42768</v>
      </c>
      <c r="AU2103" t="s">
        <v>73</v>
      </c>
      <c r="AV2103">
        <v>262</v>
      </c>
      <c r="AW2103" s="4">
        <v>42768</v>
      </c>
      <c r="BD2103">
        <v>0</v>
      </c>
      <c r="BN2103" t="s">
        <v>74</v>
      </c>
    </row>
    <row r="2104" spans="1:66" hidden="1">
      <c r="A2104">
        <v>104708</v>
      </c>
      <c r="B2104" t="s">
        <v>432</v>
      </c>
      <c r="C2104" s="1">
        <v>43500101</v>
      </c>
      <c r="D2104" t="s">
        <v>98</v>
      </c>
      <c r="H2104" t="str">
        <f t="shared" ref="H2104:I2106" si="273">"05085150158"</f>
        <v>05085150158</v>
      </c>
      <c r="I2104" t="str">
        <f t="shared" si="273"/>
        <v>05085150158</v>
      </c>
      <c r="K2104" t="str">
        <f>""</f>
        <v/>
      </c>
      <c r="M2104" t="s">
        <v>68</v>
      </c>
      <c r="N2104" t="str">
        <f>"ALTFIN"</f>
        <v>ALTFIN</v>
      </c>
      <c r="O2104" t="s">
        <v>102</v>
      </c>
      <c r="P2104" t="s">
        <v>82</v>
      </c>
      <c r="Q2104">
        <v>2017</v>
      </c>
      <c r="R2104" s="4">
        <v>42755</v>
      </c>
      <c r="S2104" s="2">
        <v>42755</v>
      </c>
      <c r="T2104" s="2">
        <v>42755</v>
      </c>
      <c r="U2104" s="4">
        <v>42815</v>
      </c>
      <c r="V2104" t="s">
        <v>71</v>
      </c>
      <c r="W2104" t="str">
        <f>"                0120"</f>
        <v xml:space="preserve">                0120</v>
      </c>
      <c r="X2104">
        <v>0</v>
      </c>
      <c r="Y2104" s="1">
        <v>1497</v>
      </c>
      <c r="Z2104" s="5">
        <v>1497</v>
      </c>
      <c r="AA2104" s="3">
        <v>-57</v>
      </c>
      <c r="AB2104" s="5">
        <v>-85329</v>
      </c>
      <c r="AC2104" s="1">
        <v>1497</v>
      </c>
      <c r="AD2104">
        <v>-57</v>
      </c>
      <c r="AE2104" s="1">
        <v>-85329</v>
      </c>
      <c r="AF2104">
        <v>0</v>
      </c>
      <c r="AJ2104" s="1">
        <v>1497</v>
      </c>
      <c r="AK2104" s="1">
        <v>1497</v>
      </c>
      <c r="AL2104" s="1">
        <v>1497</v>
      </c>
      <c r="AM2104" s="1">
        <v>1497</v>
      </c>
      <c r="AN2104" s="1">
        <v>1497</v>
      </c>
      <c r="AO2104" s="1">
        <v>1497</v>
      </c>
      <c r="AP2104" s="2">
        <v>42831</v>
      </c>
      <c r="AQ2104" t="s">
        <v>72</v>
      </c>
      <c r="AR2104" t="s">
        <v>72</v>
      </c>
      <c r="AS2104">
        <v>73</v>
      </c>
      <c r="AT2104" s="4">
        <v>42758</v>
      </c>
      <c r="AV2104">
        <v>73</v>
      </c>
      <c r="AW2104" s="4">
        <v>42758</v>
      </c>
      <c r="BD2104">
        <v>0</v>
      </c>
      <c r="BN2104" t="s">
        <v>74</v>
      </c>
    </row>
    <row r="2105" spans="1:66" hidden="1">
      <c r="A2105">
        <v>104708</v>
      </c>
      <c r="B2105" t="s">
        <v>432</v>
      </c>
      <c r="C2105" s="1">
        <v>43500101</v>
      </c>
      <c r="D2105" t="s">
        <v>98</v>
      </c>
      <c r="H2105" t="str">
        <f t="shared" si="273"/>
        <v>05085150158</v>
      </c>
      <c r="I2105" t="str">
        <f t="shared" si="273"/>
        <v>05085150158</v>
      </c>
      <c r="K2105" t="str">
        <f>""</f>
        <v/>
      </c>
      <c r="M2105" t="s">
        <v>68</v>
      </c>
      <c r="N2105" t="str">
        <f>"ALTFIN"</f>
        <v>ALTFIN</v>
      </c>
      <c r="O2105" t="s">
        <v>102</v>
      </c>
      <c r="P2105" t="s">
        <v>83</v>
      </c>
      <c r="Q2105">
        <v>2017</v>
      </c>
      <c r="R2105" s="4">
        <v>42786</v>
      </c>
      <c r="S2105" s="2">
        <v>42787</v>
      </c>
      <c r="T2105" s="2">
        <v>42787</v>
      </c>
      <c r="U2105" s="4">
        <v>42847</v>
      </c>
      <c r="V2105" t="s">
        <v>71</v>
      </c>
      <c r="W2105" t="str">
        <f>"                0220"</f>
        <v xml:space="preserve">                0220</v>
      </c>
      <c r="X2105">
        <v>0</v>
      </c>
      <c r="Y2105" s="1">
        <v>1165</v>
      </c>
      <c r="Z2105" s="5">
        <v>1165</v>
      </c>
      <c r="AA2105" s="3">
        <v>-60</v>
      </c>
      <c r="AB2105" s="5">
        <v>-69900</v>
      </c>
      <c r="AC2105" s="1">
        <v>1165</v>
      </c>
      <c r="AD2105">
        <v>-60</v>
      </c>
      <c r="AE2105" s="1">
        <v>-69900</v>
      </c>
      <c r="AF2105">
        <v>0</v>
      </c>
      <c r="AJ2105" s="1">
        <v>1165</v>
      </c>
      <c r="AK2105" s="1">
        <v>1165</v>
      </c>
      <c r="AL2105" s="1">
        <v>1165</v>
      </c>
      <c r="AM2105" s="1">
        <v>1165</v>
      </c>
      <c r="AN2105" s="1">
        <v>1165</v>
      </c>
      <c r="AO2105" s="1">
        <v>1165</v>
      </c>
      <c r="AP2105" s="2">
        <v>42831</v>
      </c>
      <c r="AQ2105" t="s">
        <v>72</v>
      </c>
      <c r="AR2105" t="s">
        <v>72</v>
      </c>
      <c r="AS2105">
        <v>553</v>
      </c>
      <c r="AT2105" s="4">
        <v>42787</v>
      </c>
      <c r="AV2105">
        <v>553</v>
      </c>
      <c r="AW2105" s="4">
        <v>42787</v>
      </c>
      <c r="BD2105">
        <v>0</v>
      </c>
      <c r="BN2105" t="s">
        <v>74</v>
      </c>
    </row>
    <row r="2106" spans="1:66" hidden="1">
      <c r="A2106">
        <v>104708</v>
      </c>
      <c r="B2106" t="s">
        <v>432</v>
      </c>
      <c r="C2106" s="1">
        <v>43500101</v>
      </c>
      <c r="D2106" t="s">
        <v>98</v>
      </c>
      <c r="H2106" t="str">
        <f t="shared" si="273"/>
        <v>05085150158</v>
      </c>
      <c r="I2106" t="str">
        <f t="shared" si="273"/>
        <v>05085150158</v>
      </c>
      <c r="K2106" t="str">
        <f>""</f>
        <v/>
      </c>
      <c r="M2106" t="s">
        <v>68</v>
      </c>
      <c r="N2106" t="str">
        <f>"ALTFIN"</f>
        <v>ALTFIN</v>
      </c>
      <c r="O2106" t="s">
        <v>102</v>
      </c>
      <c r="P2106" t="s">
        <v>84</v>
      </c>
      <c r="Q2106">
        <v>2017</v>
      </c>
      <c r="R2106" s="4">
        <v>42815</v>
      </c>
      <c r="S2106" s="2">
        <v>42815</v>
      </c>
      <c r="T2106" s="2">
        <v>42815</v>
      </c>
      <c r="U2106" s="4">
        <v>42875</v>
      </c>
      <c r="V2106" t="s">
        <v>71</v>
      </c>
      <c r="W2106" t="str">
        <f>"                0321"</f>
        <v xml:space="preserve">                0321</v>
      </c>
      <c r="X2106">
        <v>0</v>
      </c>
      <c r="Y2106" s="1">
        <v>1505</v>
      </c>
      <c r="Z2106" s="5">
        <v>1505</v>
      </c>
      <c r="AA2106" s="3">
        <v>-60</v>
      </c>
      <c r="AB2106" s="5">
        <v>-90300</v>
      </c>
      <c r="AC2106" s="1">
        <v>1505</v>
      </c>
      <c r="AD2106">
        <v>-60</v>
      </c>
      <c r="AE2106" s="1">
        <v>-90300</v>
      </c>
      <c r="AF2106">
        <v>0</v>
      </c>
      <c r="AJ2106" s="1">
        <v>1505</v>
      </c>
      <c r="AK2106" s="1">
        <v>1505</v>
      </c>
      <c r="AL2106" s="1">
        <v>1505</v>
      </c>
      <c r="AM2106" s="1">
        <v>1505</v>
      </c>
      <c r="AN2106" s="1">
        <v>1505</v>
      </c>
      <c r="AO2106" s="1">
        <v>1505</v>
      </c>
      <c r="AP2106" s="2">
        <v>42831</v>
      </c>
      <c r="AQ2106" t="s">
        <v>72</v>
      </c>
      <c r="AR2106" t="s">
        <v>72</v>
      </c>
      <c r="AS2106">
        <v>850</v>
      </c>
      <c r="AT2106" s="4">
        <v>42815</v>
      </c>
      <c r="AV2106">
        <v>850</v>
      </c>
      <c r="AW2106" s="4">
        <v>42815</v>
      </c>
      <c r="BD2106">
        <v>0</v>
      </c>
      <c r="BN2106" t="s">
        <v>74</v>
      </c>
    </row>
    <row r="2107" spans="1:66">
      <c r="A2107">
        <v>104724</v>
      </c>
      <c r="B2107" t="s">
        <v>433</v>
      </c>
      <c r="C2107" s="1">
        <v>43300101</v>
      </c>
      <c r="D2107" t="s">
        <v>67</v>
      </c>
      <c r="H2107" t="str">
        <f>"06695101219"</f>
        <v>06695101219</v>
      </c>
      <c r="I2107" t="str">
        <f>"06695101219"</f>
        <v>06695101219</v>
      </c>
      <c r="K2107" t="str">
        <f>""</f>
        <v/>
      </c>
      <c r="M2107" t="s">
        <v>68</v>
      </c>
      <c r="N2107" t="str">
        <f>"FOR"</f>
        <v>FOR</v>
      </c>
      <c r="O2107" t="s">
        <v>69</v>
      </c>
      <c r="P2107" t="s">
        <v>75</v>
      </c>
      <c r="Q2107">
        <v>2016</v>
      </c>
      <c r="R2107" s="4">
        <v>42677</v>
      </c>
      <c r="S2107" s="2">
        <v>42682</v>
      </c>
      <c r="T2107" s="2">
        <v>42682</v>
      </c>
      <c r="U2107" s="4">
        <v>42742</v>
      </c>
      <c r="V2107" t="s">
        <v>71</v>
      </c>
      <c r="W2107" t="str">
        <f>"       0000414E/2016"</f>
        <v xml:space="preserve">       0000414E/2016</v>
      </c>
      <c r="X2107">
        <v>658.8</v>
      </c>
      <c r="Y2107">
        <v>0</v>
      </c>
      <c r="Z2107" s="5">
        <v>540</v>
      </c>
      <c r="AA2107" s="3">
        <v>26</v>
      </c>
      <c r="AB2107" s="5">
        <v>14040</v>
      </c>
      <c r="AC2107">
        <v>540</v>
      </c>
      <c r="AD2107">
        <v>26</v>
      </c>
      <c r="AE2107" s="1">
        <v>14040</v>
      </c>
      <c r="AF2107">
        <v>0</v>
      </c>
      <c r="AJ2107">
        <v>0</v>
      </c>
      <c r="AK2107">
        <v>0</v>
      </c>
      <c r="AL2107">
        <v>0</v>
      </c>
      <c r="AM2107">
        <v>0</v>
      </c>
      <c r="AN2107">
        <v>0</v>
      </c>
      <c r="AO2107">
        <v>0</v>
      </c>
      <c r="AP2107" s="2">
        <v>42831</v>
      </c>
      <c r="AQ2107" t="s">
        <v>72</v>
      </c>
      <c r="AR2107" t="s">
        <v>72</v>
      </c>
      <c r="AS2107">
        <v>267</v>
      </c>
      <c r="AT2107" s="4">
        <v>42768</v>
      </c>
      <c r="AU2107" t="s">
        <v>73</v>
      </c>
      <c r="AV2107">
        <v>267</v>
      </c>
      <c r="AW2107" s="4">
        <v>42768</v>
      </c>
      <c r="BD2107">
        <v>0</v>
      </c>
      <c r="BN2107" t="s">
        <v>74</v>
      </c>
    </row>
    <row r="2108" spans="1:66">
      <c r="A2108">
        <v>104729</v>
      </c>
      <c r="B2108" t="s">
        <v>434</v>
      </c>
      <c r="C2108" s="1">
        <v>43300101</v>
      </c>
      <c r="D2108" t="s">
        <v>67</v>
      </c>
      <c r="H2108" t="str">
        <f t="shared" ref="H2108:I2110" si="274">"10692961005"</f>
        <v>10692961005</v>
      </c>
      <c r="I2108" t="str">
        <f t="shared" si="274"/>
        <v>10692961005</v>
      </c>
      <c r="K2108" t="str">
        <f>""</f>
        <v/>
      </c>
      <c r="M2108" t="s">
        <v>68</v>
      </c>
      <c r="N2108" t="str">
        <f>"FOR"</f>
        <v>FOR</v>
      </c>
      <c r="O2108" t="s">
        <v>69</v>
      </c>
      <c r="P2108" t="s">
        <v>75</v>
      </c>
      <c r="Q2108">
        <v>2016</v>
      </c>
      <c r="R2108" s="4">
        <v>42431</v>
      </c>
      <c r="S2108" s="2">
        <v>42433</v>
      </c>
      <c r="T2108" s="2">
        <v>42432</v>
      </c>
      <c r="U2108" s="4">
        <v>42492</v>
      </c>
      <c r="V2108" t="s">
        <v>71</v>
      </c>
      <c r="W2108" t="str">
        <f>"               54/PA"</f>
        <v xml:space="preserve">               54/PA</v>
      </c>
      <c r="X2108">
        <v>499.71</v>
      </c>
      <c r="Y2108">
        <v>0</v>
      </c>
      <c r="Z2108" s="5">
        <v>409.6</v>
      </c>
      <c r="AA2108" s="3">
        <v>276</v>
      </c>
      <c r="AB2108" s="5">
        <v>113049.60000000001</v>
      </c>
      <c r="AC2108">
        <v>409.6</v>
      </c>
      <c r="AD2108">
        <v>276</v>
      </c>
      <c r="AE2108" s="1">
        <v>113049.60000000001</v>
      </c>
      <c r="AF2108">
        <v>0</v>
      </c>
      <c r="AJ2108">
        <v>0</v>
      </c>
      <c r="AK2108">
        <v>0</v>
      </c>
      <c r="AL2108">
        <v>0</v>
      </c>
      <c r="AM2108">
        <v>0</v>
      </c>
      <c r="AN2108">
        <v>0</v>
      </c>
      <c r="AO2108">
        <v>0</v>
      </c>
      <c r="AP2108" s="2">
        <v>42831</v>
      </c>
      <c r="AQ2108" t="s">
        <v>72</v>
      </c>
      <c r="AR2108" t="s">
        <v>72</v>
      </c>
      <c r="AS2108">
        <v>218</v>
      </c>
      <c r="AT2108" s="4">
        <v>42768</v>
      </c>
      <c r="AU2108" t="s">
        <v>73</v>
      </c>
      <c r="AV2108">
        <v>218</v>
      </c>
      <c r="AW2108" s="4">
        <v>42768</v>
      </c>
      <c r="BD2108">
        <v>0</v>
      </c>
      <c r="BN2108" t="s">
        <v>74</v>
      </c>
    </row>
    <row r="2109" spans="1:66">
      <c r="A2109">
        <v>104729</v>
      </c>
      <c r="B2109" t="s">
        <v>434</v>
      </c>
      <c r="C2109" s="1">
        <v>43300101</v>
      </c>
      <c r="D2109" t="s">
        <v>67</v>
      </c>
      <c r="H2109" t="str">
        <f t="shared" si="274"/>
        <v>10692961005</v>
      </c>
      <c r="I2109" t="str">
        <f t="shared" si="274"/>
        <v>10692961005</v>
      </c>
      <c r="K2109" t="str">
        <f>""</f>
        <v/>
      </c>
      <c r="M2109" t="s">
        <v>68</v>
      </c>
      <c r="N2109" t="str">
        <f>"FOR"</f>
        <v>FOR</v>
      </c>
      <c r="O2109" t="s">
        <v>69</v>
      </c>
      <c r="P2109" t="s">
        <v>75</v>
      </c>
      <c r="Q2109">
        <v>2016</v>
      </c>
      <c r="R2109" s="4">
        <v>42629</v>
      </c>
      <c r="S2109" s="2">
        <v>42632</v>
      </c>
      <c r="T2109" s="2">
        <v>42632</v>
      </c>
      <c r="U2109" s="4">
        <v>42692</v>
      </c>
      <c r="V2109" t="s">
        <v>71</v>
      </c>
      <c r="W2109" t="str">
        <f>"              196/PA"</f>
        <v xml:space="preserve">              196/PA</v>
      </c>
      <c r="X2109">
        <v>680.27</v>
      </c>
      <c r="Y2109">
        <v>0</v>
      </c>
      <c r="Z2109" s="5">
        <v>557.6</v>
      </c>
      <c r="AA2109" s="3">
        <v>76</v>
      </c>
      <c r="AB2109" s="5">
        <v>42377.599999999999</v>
      </c>
      <c r="AC2109">
        <v>557.6</v>
      </c>
      <c r="AD2109">
        <v>76</v>
      </c>
      <c r="AE2109" s="1">
        <v>42377.599999999999</v>
      </c>
      <c r="AF2109">
        <v>0</v>
      </c>
      <c r="AJ2109">
        <v>0</v>
      </c>
      <c r="AK2109">
        <v>0</v>
      </c>
      <c r="AL2109">
        <v>0</v>
      </c>
      <c r="AM2109">
        <v>0</v>
      </c>
      <c r="AN2109">
        <v>0</v>
      </c>
      <c r="AO2109">
        <v>0</v>
      </c>
      <c r="AP2109" s="2">
        <v>42831</v>
      </c>
      <c r="AQ2109" t="s">
        <v>72</v>
      </c>
      <c r="AR2109" t="s">
        <v>72</v>
      </c>
      <c r="AS2109">
        <v>218</v>
      </c>
      <c r="AT2109" s="4">
        <v>42768</v>
      </c>
      <c r="AU2109" t="s">
        <v>73</v>
      </c>
      <c r="AV2109">
        <v>218</v>
      </c>
      <c r="AW2109" s="4">
        <v>42768</v>
      </c>
      <c r="BD2109">
        <v>0</v>
      </c>
      <c r="BN2109" t="s">
        <v>74</v>
      </c>
    </row>
    <row r="2110" spans="1:66">
      <c r="A2110">
        <v>104729</v>
      </c>
      <c r="B2110" t="s">
        <v>434</v>
      </c>
      <c r="C2110" s="1">
        <v>43300101</v>
      </c>
      <c r="D2110" t="s">
        <v>67</v>
      </c>
      <c r="H2110" t="str">
        <f t="shared" si="274"/>
        <v>10692961005</v>
      </c>
      <c r="I2110" t="str">
        <f t="shared" si="274"/>
        <v>10692961005</v>
      </c>
      <c r="K2110" t="str">
        <f>""</f>
        <v/>
      </c>
      <c r="M2110" t="s">
        <v>68</v>
      </c>
      <c r="N2110" t="str">
        <f>"FOR"</f>
        <v>FOR</v>
      </c>
      <c r="O2110" t="s">
        <v>69</v>
      </c>
      <c r="P2110" t="s">
        <v>75</v>
      </c>
      <c r="Q2110">
        <v>2016</v>
      </c>
      <c r="R2110" s="4">
        <v>42636</v>
      </c>
      <c r="S2110" s="2">
        <v>42643</v>
      </c>
      <c r="T2110" s="2">
        <v>42642</v>
      </c>
      <c r="U2110" s="4">
        <v>42702</v>
      </c>
      <c r="V2110" t="s">
        <v>71</v>
      </c>
      <c r="W2110" t="str">
        <f>"              205/PA"</f>
        <v xml:space="preserve">              205/PA</v>
      </c>
      <c r="X2110">
        <v>261.81</v>
      </c>
      <c r="Y2110">
        <v>0</v>
      </c>
      <c r="Z2110" s="5">
        <v>214.6</v>
      </c>
      <c r="AA2110" s="3">
        <v>66</v>
      </c>
      <c r="AB2110" s="5">
        <v>14163.6</v>
      </c>
      <c r="AC2110">
        <v>214.6</v>
      </c>
      <c r="AD2110">
        <v>66</v>
      </c>
      <c r="AE2110" s="1">
        <v>14163.6</v>
      </c>
      <c r="AF2110">
        <v>0</v>
      </c>
      <c r="AJ2110">
        <v>0</v>
      </c>
      <c r="AK2110">
        <v>0</v>
      </c>
      <c r="AL2110">
        <v>0</v>
      </c>
      <c r="AM2110">
        <v>0</v>
      </c>
      <c r="AN2110">
        <v>0</v>
      </c>
      <c r="AO2110">
        <v>0</v>
      </c>
      <c r="AP2110" s="2">
        <v>42831</v>
      </c>
      <c r="AQ2110" t="s">
        <v>72</v>
      </c>
      <c r="AR2110" t="s">
        <v>72</v>
      </c>
      <c r="AS2110">
        <v>218</v>
      </c>
      <c r="AT2110" s="4">
        <v>42768</v>
      </c>
      <c r="AU2110" t="s">
        <v>73</v>
      </c>
      <c r="AV2110">
        <v>218</v>
      </c>
      <c r="AW2110" s="4">
        <v>42768</v>
      </c>
      <c r="BD2110">
        <v>0</v>
      </c>
      <c r="BN2110" t="s">
        <v>74</v>
      </c>
    </row>
    <row r="2111" spans="1:66">
      <c r="A2111">
        <v>106195</v>
      </c>
      <c r="B2111" t="s">
        <v>435</v>
      </c>
      <c r="C2111" s="1">
        <v>43500101</v>
      </c>
      <c r="D2111" t="s">
        <v>98</v>
      </c>
      <c r="H2111" t="str">
        <f>"PNNTZN69E67A783X"</f>
        <v>PNNTZN69E67A783X</v>
      </c>
      <c r="I2111" t="str">
        <f>"01185640628"</f>
        <v>01185640628</v>
      </c>
      <c r="K2111" t="str">
        <f>""</f>
        <v/>
      </c>
      <c r="M2111" t="s">
        <v>68</v>
      </c>
      <c r="N2111" t="str">
        <f>"ALTPRO"</f>
        <v>ALTPRO</v>
      </c>
      <c r="O2111" t="s">
        <v>116</v>
      </c>
      <c r="P2111" t="s">
        <v>75</v>
      </c>
      <c r="Q2111">
        <v>2017</v>
      </c>
      <c r="R2111" s="4">
        <v>42754</v>
      </c>
      <c r="S2111" s="2">
        <v>42755</v>
      </c>
      <c r="T2111" s="2">
        <v>42755</v>
      </c>
      <c r="U2111" s="4">
        <v>42815</v>
      </c>
      <c r="V2111" t="s">
        <v>71</v>
      </c>
      <c r="W2111" t="str">
        <f>"                1/FE"</f>
        <v xml:space="preserve">                1/FE</v>
      </c>
      <c r="X2111" s="1">
        <v>6172.5</v>
      </c>
      <c r="Y2111">
        <v>-874</v>
      </c>
      <c r="Z2111" s="5">
        <v>5298.5</v>
      </c>
      <c r="AA2111" s="3">
        <v>-57</v>
      </c>
      <c r="AB2111" s="5">
        <v>-302014.5</v>
      </c>
      <c r="AC2111" s="1">
        <v>5298.5</v>
      </c>
      <c r="AD2111">
        <v>-57</v>
      </c>
      <c r="AE2111" s="1">
        <v>-302014.5</v>
      </c>
      <c r="AF2111">
        <v>0</v>
      </c>
      <c r="AJ2111" s="1">
        <v>5298.5</v>
      </c>
      <c r="AK2111" s="1">
        <v>5298.5</v>
      </c>
      <c r="AL2111" s="1">
        <v>5298.5</v>
      </c>
      <c r="AM2111" s="1">
        <v>5298.5</v>
      </c>
      <c r="AN2111" s="1">
        <v>5298.5</v>
      </c>
      <c r="AO2111" s="1">
        <v>5298.5</v>
      </c>
      <c r="AP2111" s="2">
        <v>42831</v>
      </c>
      <c r="AQ2111" t="s">
        <v>72</v>
      </c>
      <c r="AR2111" t="s">
        <v>72</v>
      </c>
      <c r="AS2111">
        <v>100</v>
      </c>
      <c r="AT2111" s="4">
        <v>42758</v>
      </c>
      <c r="AV2111">
        <v>100</v>
      </c>
      <c r="AW2111" s="4">
        <v>42758</v>
      </c>
      <c r="BD2111">
        <v>0</v>
      </c>
      <c r="BN2111" t="s">
        <v>74</v>
      </c>
    </row>
    <row r="2112" spans="1:66">
      <c r="A2112">
        <v>106198</v>
      </c>
      <c r="B2112" t="s">
        <v>436</v>
      </c>
      <c r="C2112" s="1">
        <v>43500101</v>
      </c>
      <c r="D2112" t="s">
        <v>98</v>
      </c>
      <c r="H2112" t="str">
        <f>"01331760627"</f>
        <v>01331760627</v>
      </c>
      <c r="I2112" t="str">
        <f>"01331760627"</f>
        <v>01331760627</v>
      </c>
      <c r="K2112" t="str">
        <f>""</f>
        <v/>
      </c>
      <c r="M2112" t="s">
        <v>68</v>
      </c>
      <c r="N2112" t="str">
        <f>"ALTPRO"</f>
        <v>ALTPRO</v>
      </c>
      <c r="O2112" t="s">
        <v>116</v>
      </c>
      <c r="P2112" t="s">
        <v>75</v>
      </c>
      <c r="Q2112">
        <v>2017</v>
      </c>
      <c r="R2112" s="4">
        <v>42772</v>
      </c>
      <c r="S2112" s="2">
        <v>42772</v>
      </c>
      <c r="T2112" s="2">
        <v>42772</v>
      </c>
      <c r="U2112" s="4">
        <v>42832</v>
      </c>
      <c r="V2112" t="s">
        <v>71</v>
      </c>
      <c r="W2112" t="str">
        <f>"                   2"</f>
        <v xml:space="preserve">                   2</v>
      </c>
      <c r="X2112" s="1">
        <v>4408.87</v>
      </c>
      <c r="Y2112">
        <v>-694.97</v>
      </c>
      <c r="Z2112" s="5">
        <v>3713.9</v>
      </c>
      <c r="AA2112" s="3">
        <v>-52</v>
      </c>
      <c r="AB2112" s="5">
        <v>-193122.8</v>
      </c>
      <c r="AC2112" s="1">
        <v>3713.9</v>
      </c>
      <c r="AD2112">
        <v>-52</v>
      </c>
      <c r="AE2112" s="1">
        <v>-193122.8</v>
      </c>
      <c r="AF2112">
        <v>0</v>
      </c>
      <c r="AJ2112" s="1">
        <v>3713.9</v>
      </c>
      <c r="AK2112" s="1">
        <v>3713.9</v>
      </c>
      <c r="AL2112" s="1">
        <v>3713.9</v>
      </c>
      <c r="AM2112" s="1">
        <v>3713.9</v>
      </c>
      <c r="AN2112" s="1">
        <v>3713.9</v>
      </c>
      <c r="AO2112" s="1">
        <v>3713.9</v>
      </c>
      <c r="AP2112" s="2">
        <v>42831</v>
      </c>
      <c r="AQ2112" t="s">
        <v>72</v>
      </c>
      <c r="AR2112" t="s">
        <v>72</v>
      </c>
      <c r="AS2112">
        <v>426</v>
      </c>
      <c r="AT2112" s="4">
        <v>42780</v>
      </c>
      <c r="AV2112">
        <v>426</v>
      </c>
      <c r="AW2112" s="4">
        <v>42780</v>
      </c>
      <c r="BD2112">
        <v>0</v>
      </c>
      <c r="BN2112" t="s">
        <v>74</v>
      </c>
    </row>
    <row r="2113" spans="1:66">
      <c r="A2113">
        <v>106242</v>
      </c>
      <c r="B2113" t="s">
        <v>437</v>
      </c>
      <c r="C2113" s="1">
        <v>43300101</v>
      </c>
      <c r="D2113" t="s">
        <v>67</v>
      </c>
      <c r="H2113" t="str">
        <f t="shared" ref="H2113:H2128" si="275">"01788080156"</f>
        <v>01788080156</v>
      </c>
      <c r="I2113" t="str">
        <f t="shared" ref="I2113:I2128" si="276">"02973040963"</f>
        <v>02973040963</v>
      </c>
      <c r="K2113" t="str">
        <f>""</f>
        <v/>
      </c>
      <c r="M2113" t="s">
        <v>68</v>
      </c>
      <c r="N2113" t="str">
        <f t="shared" ref="N2113:N2128" si="277">"FOR"</f>
        <v>FOR</v>
      </c>
      <c r="O2113" t="s">
        <v>69</v>
      </c>
      <c r="P2113" t="s">
        <v>75</v>
      </c>
      <c r="Q2113">
        <v>2016</v>
      </c>
      <c r="R2113" s="4">
        <v>42443</v>
      </c>
      <c r="S2113" s="2">
        <v>42444</v>
      </c>
      <c r="T2113" s="2">
        <v>42443</v>
      </c>
      <c r="U2113" s="4">
        <v>42503</v>
      </c>
      <c r="V2113" t="s">
        <v>71</v>
      </c>
      <c r="W2113" t="str">
        <f>"          1010339592"</f>
        <v xml:space="preserve">          1010339592</v>
      </c>
      <c r="X2113">
        <v>393.52</v>
      </c>
      <c r="Y2113">
        <v>0</v>
      </c>
      <c r="Z2113" s="5">
        <v>322.56</v>
      </c>
      <c r="AA2113" s="3">
        <v>269</v>
      </c>
      <c r="AB2113" s="5">
        <v>86768.639999999999</v>
      </c>
      <c r="AC2113">
        <v>322.56</v>
      </c>
      <c r="AD2113">
        <v>269</v>
      </c>
      <c r="AE2113" s="1">
        <v>86768.639999999999</v>
      </c>
      <c r="AF2113">
        <v>0</v>
      </c>
      <c r="AJ2113">
        <v>0</v>
      </c>
      <c r="AK2113">
        <v>0</v>
      </c>
      <c r="AL2113">
        <v>0</v>
      </c>
      <c r="AM2113">
        <v>0</v>
      </c>
      <c r="AN2113">
        <v>0</v>
      </c>
      <c r="AO2113">
        <v>0</v>
      </c>
      <c r="AP2113" s="2">
        <v>42831</v>
      </c>
      <c r="AQ2113" t="s">
        <v>72</v>
      </c>
      <c r="AR2113" t="s">
        <v>72</v>
      </c>
      <c r="AS2113">
        <v>297</v>
      </c>
      <c r="AT2113" s="4">
        <v>42772</v>
      </c>
      <c r="AU2113" t="s">
        <v>73</v>
      </c>
      <c r="AV2113">
        <v>297</v>
      </c>
      <c r="AW2113" s="4">
        <v>42772</v>
      </c>
      <c r="BD2113">
        <v>0</v>
      </c>
      <c r="BN2113" t="s">
        <v>74</v>
      </c>
    </row>
    <row r="2114" spans="1:66">
      <c r="A2114">
        <v>106242</v>
      </c>
      <c r="B2114" t="s">
        <v>437</v>
      </c>
      <c r="C2114" s="1">
        <v>43300101</v>
      </c>
      <c r="D2114" t="s">
        <v>67</v>
      </c>
      <c r="H2114" t="str">
        <f t="shared" si="275"/>
        <v>01788080156</v>
      </c>
      <c r="I2114" t="str">
        <f t="shared" si="276"/>
        <v>02973040963</v>
      </c>
      <c r="K2114" t="str">
        <f>""</f>
        <v/>
      </c>
      <c r="M2114" t="s">
        <v>68</v>
      </c>
      <c r="N2114" t="str">
        <f t="shared" si="277"/>
        <v>FOR</v>
      </c>
      <c r="O2114" t="s">
        <v>69</v>
      </c>
      <c r="P2114" t="s">
        <v>75</v>
      </c>
      <c r="Q2114">
        <v>2016</v>
      </c>
      <c r="R2114" s="4">
        <v>42443</v>
      </c>
      <c r="S2114" s="2">
        <v>42444</v>
      </c>
      <c r="T2114" s="2">
        <v>42443</v>
      </c>
      <c r="U2114" s="4">
        <v>42503</v>
      </c>
      <c r="V2114" t="s">
        <v>71</v>
      </c>
      <c r="W2114" t="str">
        <f>"          1010339898"</f>
        <v xml:space="preserve">          1010339898</v>
      </c>
      <c r="X2114" s="1">
        <v>2739.5</v>
      </c>
      <c r="Y2114">
        <v>0</v>
      </c>
      <c r="Z2114" s="5">
        <v>2245.4899999999998</v>
      </c>
      <c r="AA2114" s="3">
        <v>264</v>
      </c>
      <c r="AB2114" s="5">
        <v>592809.36</v>
      </c>
      <c r="AC2114" s="1">
        <v>2245.4899999999998</v>
      </c>
      <c r="AD2114">
        <v>264</v>
      </c>
      <c r="AE2114" s="1">
        <v>592809.36</v>
      </c>
      <c r="AF2114">
        <v>0</v>
      </c>
      <c r="AJ2114">
        <v>0</v>
      </c>
      <c r="AK2114">
        <v>0</v>
      </c>
      <c r="AL2114">
        <v>0</v>
      </c>
      <c r="AM2114">
        <v>0</v>
      </c>
      <c r="AN2114">
        <v>0</v>
      </c>
      <c r="AO2114">
        <v>0</v>
      </c>
      <c r="AP2114" s="2">
        <v>42831</v>
      </c>
      <c r="AQ2114" t="s">
        <v>72</v>
      </c>
      <c r="AR2114" t="s">
        <v>72</v>
      </c>
      <c r="AS2114">
        <v>190</v>
      </c>
      <c r="AT2114" s="4">
        <v>42767</v>
      </c>
      <c r="AU2114" t="s">
        <v>73</v>
      </c>
      <c r="AV2114">
        <v>190</v>
      </c>
      <c r="AW2114" s="4">
        <v>42767</v>
      </c>
      <c r="BD2114">
        <v>0</v>
      </c>
      <c r="BN2114" t="s">
        <v>74</v>
      </c>
    </row>
    <row r="2115" spans="1:66">
      <c r="A2115">
        <v>106242</v>
      </c>
      <c r="B2115" t="s">
        <v>437</v>
      </c>
      <c r="C2115" s="1">
        <v>43300101</v>
      </c>
      <c r="D2115" t="s">
        <v>67</v>
      </c>
      <c r="H2115" t="str">
        <f t="shared" si="275"/>
        <v>01788080156</v>
      </c>
      <c r="I2115" t="str">
        <f t="shared" si="276"/>
        <v>02973040963</v>
      </c>
      <c r="K2115" t="str">
        <f>""</f>
        <v/>
      </c>
      <c r="M2115" t="s">
        <v>68</v>
      </c>
      <c r="N2115" t="str">
        <f t="shared" si="277"/>
        <v>FOR</v>
      </c>
      <c r="O2115" t="s">
        <v>69</v>
      </c>
      <c r="P2115" t="s">
        <v>75</v>
      </c>
      <c r="Q2115">
        <v>2016</v>
      </c>
      <c r="R2115" s="4">
        <v>42459</v>
      </c>
      <c r="S2115" s="2">
        <v>42465</v>
      </c>
      <c r="T2115" s="2">
        <v>42460</v>
      </c>
      <c r="U2115" s="4">
        <v>42520</v>
      </c>
      <c r="V2115" t="s">
        <v>71</v>
      </c>
      <c r="W2115" t="str">
        <f>"          1010344352"</f>
        <v xml:space="preserve">          1010344352</v>
      </c>
      <c r="X2115" s="1">
        <v>1332.24</v>
      </c>
      <c r="Y2115">
        <v>0</v>
      </c>
      <c r="Z2115" s="5">
        <v>1092</v>
      </c>
      <c r="AA2115" s="3">
        <v>247</v>
      </c>
      <c r="AB2115" s="5">
        <v>269724</v>
      </c>
      <c r="AC2115" s="1">
        <v>1092</v>
      </c>
      <c r="AD2115">
        <v>247</v>
      </c>
      <c r="AE2115" s="1">
        <v>269724</v>
      </c>
      <c r="AF2115">
        <v>0</v>
      </c>
      <c r="AJ2115">
        <v>0</v>
      </c>
      <c r="AK2115">
        <v>0</v>
      </c>
      <c r="AL2115">
        <v>0</v>
      </c>
      <c r="AM2115">
        <v>0</v>
      </c>
      <c r="AN2115">
        <v>0</v>
      </c>
      <c r="AO2115">
        <v>0</v>
      </c>
      <c r="AP2115" s="2">
        <v>42831</v>
      </c>
      <c r="AQ2115" t="s">
        <v>72</v>
      </c>
      <c r="AR2115" t="s">
        <v>72</v>
      </c>
      <c r="AS2115">
        <v>190</v>
      </c>
      <c r="AT2115" s="4">
        <v>42767</v>
      </c>
      <c r="AU2115" t="s">
        <v>73</v>
      </c>
      <c r="AV2115">
        <v>190</v>
      </c>
      <c r="AW2115" s="4">
        <v>42767</v>
      </c>
      <c r="BD2115">
        <v>0</v>
      </c>
      <c r="BN2115" t="s">
        <v>74</v>
      </c>
    </row>
    <row r="2116" spans="1:66">
      <c r="A2116">
        <v>106242</v>
      </c>
      <c r="B2116" t="s">
        <v>437</v>
      </c>
      <c r="C2116" s="1">
        <v>43300101</v>
      </c>
      <c r="D2116" t="s">
        <v>67</v>
      </c>
      <c r="H2116" t="str">
        <f t="shared" si="275"/>
        <v>01788080156</v>
      </c>
      <c r="I2116" t="str">
        <f t="shared" si="276"/>
        <v>02973040963</v>
      </c>
      <c r="K2116" t="str">
        <f>""</f>
        <v/>
      </c>
      <c r="M2116" t="s">
        <v>68</v>
      </c>
      <c r="N2116" t="str">
        <f t="shared" si="277"/>
        <v>FOR</v>
      </c>
      <c r="O2116" t="s">
        <v>69</v>
      </c>
      <c r="P2116" t="s">
        <v>75</v>
      </c>
      <c r="Q2116">
        <v>2016</v>
      </c>
      <c r="R2116" s="4">
        <v>42541</v>
      </c>
      <c r="S2116" s="2">
        <v>42542</v>
      </c>
      <c r="T2116" s="2">
        <v>42542</v>
      </c>
      <c r="U2116" s="4">
        <v>42602</v>
      </c>
      <c r="V2116" t="s">
        <v>71</v>
      </c>
      <c r="W2116" t="str">
        <f>"          1010357253"</f>
        <v xml:space="preserve">          1010357253</v>
      </c>
      <c r="X2116" s="1">
        <v>2739.5</v>
      </c>
      <c r="Y2116">
        <v>0</v>
      </c>
      <c r="Z2116" s="5">
        <v>2245.4899999999998</v>
      </c>
      <c r="AA2116" s="3">
        <v>165</v>
      </c>
      <c r="AB2116" s="5">
        <v>370505.85</v>
      </c>
      <c r="AC2116" s="1">
        <v>2245.4899999999998</v>
      </c>
      <c r="AD2116">
        <v>165</v>
      </c>
      <c r="AE2116" s="1">
        <v>370505.85</v>
      </c>
      <c r="AF2116">
        <v>0</v>
      </c>
      <c r="AJ2116">
        <v>0</v>
      </c>
      <c r="AK2116">
        <v>0</v>
      </c>
      <c r="AL2116">
        <v>0</v>
      </c>
      <c r="AM2116">
        <v>0</v>
      </c>
      <c r="AN2116">
        <v>0</v>
      </c>
      <c r="AO2116">
        <v>0</v>
      </c>
      <c r="AP2116" s="2">
        <v>42831</v>
      </c>
      <c r="AQ2116" t="s">
        <v>72</v>
      </c>
      <c r="AR2116" t="s">
        <v>72</v>
      </c>
      <c r="AS2116">
        <v>190</v>
      </c>
      <c r="AT2116" s="4">
        <v>42767</v>
      </c>
      <c r="AU2116" t="s">
        <v>73</v>
      </c>
      <c r="AV2116">
        <v>190</v>
      </c>
      <c r="AW2116" s="4">
        <v>42767</v>
      </c>
      <c r="BD2116">
        <v>0</v>
      </c>
      <c r="BN2116" t="s">
        <v>74</v>
      </c>
    </row>
    <row r="2117" spans="1:66">
      <c r="A2117">
        <v>106242</v>
      </c>
      <c r="B2117" t="s">
        <v>437</v>
      </c>
      <c r="C2117" s="1">
        <v>43300101</v>
      </c>
      <c r="D2117" t="s">
        <v>67</v>
      </c>
      <c r="H2117" t="str">
        <f t="shared" si="275"/>
        <v>01788080156</v>
      </c>
      <c r="I2117" t="str">
        <f t="shared" si="276"/>
        <v>02973040963</v>
      </c>
      <c r="K2117" t="str">
        <f>""</f>
        <v/>
      </c>
      <c r="M2117" t="s">
        <v>68</v>
      </c>
      <c r="N2117" t="str">
        <f t="shared" si="277"/>
        <v>FOR</v>
      </c>
      <c r="O2117" t="s">
        <v>69</v>
      </c>
      <c r="P2117" t="s">
        <v>75</v>
      </c>
      <c r="Q2117">
        <v>2016</v>
      </c>
      <c r="R2117" s="4">
        <v>42542</v>
      </c>
      <c r="S2117" s="2">
        <v>42545</v>
      </c>
      <c r="T2117" s="2">
        <v>42543</v>
      </c>
      <c r="U2117" s="4">
        <v>42603</v>
      </c>
      <c r="V2117" t="s">
        <v>71</v>
      </c>
      <c r="W2117" t="str">
        <f>"          1010359440"</f>
        <v xml:space="preserve">          1010359440</v>
      </c>
      <c r="X2117">
        <v>393.52</v>
      </c>
      <c r="Y2117">
        <v>0</v>
      </c>
      <c r="Z2117" s="5">
        <v>322.56</v>
      </c>
      <c r="AA2117" s="3">
        <v>164</v>
      </c>
      <c r="AB2117" s="5">
        <v>52899.839999999997</v>
      </c>
      <c r="AC2117">
        <v>322.56</v>
      </c>
      <c r="AD2117">
        <v>164</v>
      </c>
      <c r="AE2117" s="1">
        <v>52899.839999999997</v>
      </c>
      <c r="AF2117">
        <v>0</v>
      </c>
      <c r="AJ2117">
        <v>0</v>
      </c>
      <c r="AK2117">
        <v>0</v>
      </c>
      <c r="AL2117">
        <v>0</v>
      </c>
      <c r="AM2117">
        <v>0</v>
      </c>
      <c r="AN2117">
        <v>0</v>
      </c>
      <c r="AO2117">
        <v>0</v>
      </c>
      <c r="AP2117" s="2">
        <v>42831</v>
      </c>
      <c r="AQ2117" t="s">
        <v>72</v>
      </c>
      <c r="AR2117" t="s">
        <v>72</v>
      </c>
      <c r="AS2117">
        <v>190</v>
      </c>
      <c r="AT2117" s="4">
        <v>42767</v>
      </c>
      <c r="AU2117" t="s">
        <v>73</v>
      </c>
      <c r="AV2117">
        <v>190</v>
      </c>
      <c r="AW2117" s="4">
        <v>42767</v>
      </c>
      <c r="BD2117">
        <v>0</v>
      </c>
      <c r="BN2117" t="s">
        <v>74</v>
      </c>
    </row>
    <row r="2118" spans="1:66">
      <c r="A2118">
        <v>106242</v>
      </c>
      <c r="B2118" t="s">
        <v>437</v>
      </c>
      <c r="C2118" s="1">
        <v>43300101</v>
      </c>
      <c r="D2118" t="s">
        <v>67</v>
      </c>
      <c r="H2118" t="str">
        <f t="shared" si="275"/>
        <v>01788080156</v>
      </c>
      <c r="I2118" t="str">
        <f t="shared" si="276"/>
        <v>02973040963</v>
      </c>
      <c r="K2118" t="str">
        <f>""</f>
        <v/>
      </c>
      <c r="M2118" t="s">
        <v>68</v>
      </c>
      <c r="N2118" t="str">
        <f t="shared" si="277"/>
        <v>FOR</v>
      </c>
      <c r="O2118" t="s">
        <v>69</v>
      </c>
      <c r="P2118" t="s">
        <v>75</v>
      </c>
      <c r="Q2118">
        <v>2016</v>
      </c>
      <c r="R2118" s="4">
        <v>42551</v>
      </c>
      <c r="S2118" s="2">
        <v>42552</v>
      </c>
      <c r="T2118" s="2">
        <v>42551</v>
      </c>
      <c r="U2118" s="4">
        <v>42611</v>
      </c>
      <c r="V2118" t="s">
        <v>71</v>
      </c>
      <c r="W2118" t="str">
        <f>"          1010361782"</f>
        <v xml:space="preserve">          1010361782</v>
      </c>
      <c r="X2118" s="1">
        <v>1332.24</v>
      </c>
      <c r="Y2118">
        <v>0</v>
      </c>
      <c r="Z2118" s="5">
        <v>1092</v>
      </c>
      <c r="AA2118" s="3">
        <v>156</v>
      </c>
      <c r="AB2118" s="5">
        <v>170352</v>
      </c>
      <c r="AC2118" s="1">
        <v>1092</v>
      </c>
      <c r="AD2118">
        <v>156</v>
      </c>
      <c r="AE2118" s="1">
        <v>170352</v>
      </c>
      <c r="AF2118">
        <v>0</v>
      </c>
      <c r="AJ2118">
        <v>0</v>
      </c>
      <c r="AK2118">
        <v>0</v>
      </c>
      <c r="AL2118">
        <v>0</v>
      </c>
      <c r="AM2118">
        <v>0</v>
      </c>
      <c r="AN2118">
        <v>0</v>
      </c>
      <c r="AO2118">
        <v>0</v>
      </c>
      <c r="AP2118" s="2">
        <v>42831</v>
      </c>
      <c r="AQ2118" t="s">
        <v>72</v>
      </c>
      <c r="AR2118" t="s">
        <v>72</v>
      </c>
      <c r="AS2118">
        <v>190</v>
      </c>
      <c r="AT2118" s="4">
        <v>42767</v>
      </c>
      <c r="AU2118" t="s">
        <v>73</v>
      </c>
      <c r="AV2118">
        <v>190</v>
      </c>
      <c r="AW2118" s="4">
        <v>42767</v>
      </c>
      <c r="BD2118">
        <v>0</v>
      </c>
      <c r="BN2118" t="s">
        <v>74</v>
      </c>
    </row>
    <row r="2119" spans="1:66">
      <c r="A2119">
        <v>106242</v>
      </c>
      <c r="B2119" t="s">
        <v>437</v>
      </c>
      <c r="C2119" s="1">
        <v>43300101</v>
      </c>
      <c r="D2119" t="s">
        <v>67</v>
      </c>
      <c r="H2119" t="str">
        <f t="shared" si="275"/>
        <v>01788080156</v>
      </c>
      <c r="I2119" t="str">
        <f t="shared" si="276"/>
        <v>02973040963</v>
      </c>
      <c r="K2119" t="str">
        <f>""</f>
        <v/>
      </c>
      <c r="M2119" t="s">
        <v>68</v>
      </c>
      <c r="N2119" t="str">
        <f t="shared" si="277"/>
        <v>FOR</v>
      </c>
      <c r="O2119" t="s">
        <v>69</v>
      </c>
      <c r="P2119" t="s">
        <v>75</v>
      </c>
      <c r="Q2119">
        <v>2016</v>
      </c>
      <c r="R2119" s="4">
        <v>42632</v>
      </c>
      <c r="S2119" s="2">
        <v>42635</v>
      </c>
      <c r="T2119" s="2">
        <v>42633</v>
      </c>
      <c r="U2119" s="4">
        <v>42693</v>
      </c>
      <c r="V2119" t="s">
        <v>71</v>
      </c>
      <c r="W2119" t="str">
        <f>"          1010372866"</f>
        <v xml:space="preserve">          1010372866</v>
      </c>
      <c r="X2119" s="1">
        <v>2739.5</v>
      </c>
      <c r="Y2119">
        <v>0</v>
      </c>
      <c r="Z2119" s="5">
        <v>2245.4899999999998</v>
      </c>
      <c r="AA2119" s="3">
        <v>74</v>
      </c>
      <c r="AB2119" s="5">
        <v>166166.26</v>
      </c>
      <c r="AC2119" s="1">
        <v>2245.4899999999998</v>
      </c>
      <c r="AD2119">
        <v>74</v>
      </c>
      <c r="AE2119" s="1">
        <v>166166.26</v>
      </c>
      <c r="AF2119">
        <v>0</v>
      </c>
      <c r="AJ2119">
        <v>0</v>
      </c>
      <c r="AK2119">
        <v>0</v>
      </c>
      <c r="AL2119">
        <v>0</v>
      </c>
      <c r="AM2119">
        <v>0</v>
      </c>
      <c r="AN2119">
        <v>0</v>
      </c>
      <c r="AO2119">
        <v>0</v>
      </c>
      <c r="AP2119" s="2">
        <v>42831</v>
      </c>
      <c r="AQ2119" t="s">
        <v>72</v>
      </c>
      <c r="AR2119" t="s">
        <v>72</v>
      </c>
      <c r="AS2119">
        <v>190</v>
      </c>
      <c r="AT2119" s="4">
        <v>42767</v>
      </c>
      <c r="AU2119" t="s">
        <v>73</v>
      </c>
      <c r="AV2119">
        <v>190</v>
      </c>
      <c r="AW2119" s="4">
        <v>42767</v>
      </c>
      <c r="BD2119">
        <v>0</v>
      </c>
      <c r="BN2119" t="s">
        <v>74</v>
      </c>
    </row>
    <row r="2120" spans="1:66">
      <c r="A2120">
        <v>106242</v>
      </c>
      <c r="B2120" t="s">
        <v>437</v>
      </c>
      <c r="C2120" s="1">
        <v>43300101</v>
      </c>
      <c r="D2120" t="s">
        <v>67</v>
      </c>
      <c r="H2120" t="str">
        <f t="shared" si="275"/>
        <v>01788080156</v>
      </c>
      <c r="I2120" t="str">
        <f t="shared" si="276"/>
        <v>02973040963</v>
      </c>
      <c r="K2120" t="str">
        <f>""</f>
        <v/>
      </c>
      <c r="M2120" t="s">
        <v>68</v>
      </c>
      <c r="N2120" t="str">
        <f t="shared" si="277"/>
        <v>FOR</v>
      </c>
      <c r="O2120" t="s">
        <v>69</v>
      </c>
      <c r="P2120" t="s">
        <v>75</v>
      </c>
      <c r="Q2120">
        <v>2016</v>
      </c>
      <c r="R2120" s="4">
        <v>42632</v>
      </c>
      <c r="S2120" s="2">
        <v>42635</v>
      </c>
      <c r="T2120" s="2">
        <v>42633</v>
      </c>
      <c r="U2120" s="4">
        <v>42693</v>
      </c>
      <c r="V2120" t="s">
        <v>71</v>
      </c>
      <c r="W2120" t="str">
        <f>"          1010374124"</f>
        <v xml:space="preserve">          1010374124</v>
      </c>
      <c r="X2120">
        <v>393.52</v>
      </c>
      <c r="Y2120">
        <v>0</v>
      </c>
      <c r="Z2120" s="5">
        <v>322.56</v>
      </c>
      <c r="AA2120" s="3">
        <v>74</v>
      </c>
      <c r="AB2120" s="5">
        <v>23869.439999999999</v>
      </c>
      <c r="AC2120">
        <v>322.56</v>
      </c>
      <c r="AD2120">
        <v>74</v>
      </c>
      <c r="AE2120" s="1">
        <v>23869.439999999999</v>
      </c>
      <c r="AF2120">
        <v>0</v>
      </c>
      <c r="AJ2120">
        <v>0</v>
      </c>
      <c r="AK2120">
        <v>0</v>
      </c>
      <c r="AL2120">
        <v>0</v>
      </c>
      <c r="AM2120">
        <v>0</v>
      </c>
      <c r="AN2120">
        <v>0</v>
      </c>
      <c r="AO2120">
        <v>0</v>
      </c>
      <c r="AP2120" s="2">
        <v>42831</v>
      </c>
      <c r="AQ2120" t="s">
        <v>72</v>
      </c>
      <c r="AR2120" t="s">
        <v>72</v>
      </c>
      <c r="AS2120">
        <v>190</v>
      </c>
      <c r="AT2120" s="4">
        <v>42767</v>
      </c>
      <c r="AU2120" t="s">
        <v>73</v>
      </c>
      <c r="AV2120">
        <v>190</v>
      </c>
      <c r="AW2120" s="4">
        <v>42767</v>
      </c>
      <c r="BD2120">
        <v>0</v>
      </c>
      <c r="BN2120" t="s">
        <v>74</v>
      </c>
    </row>
    <row r="2121" spans="1:66">
      <c r="A2121">
        <v>106242</v>
      </c>
      <c r="B2121" t="s">
        <v>437</v>
      </c>
      <c r="C2121" s="1">
        <v>43300101</v>
      </c>
      <c r="D2121" t="s">
        <v>67</v>
      </c>
      <c r="H2121" t="str">
        <f t="shared" si="275"/>
        <v>01788080156</v>
      </c>
      <c r="I2121" t="str">
        <f t="shared" si="276"/>
        <v>02973040963</v>
      </c>
      <c r="K2121" t="str">
        <f>""</f>
        <v/>
      </c>
      <c r="M2121" t="s">
        <v>68</v>
      </c>
      <c r="N2121" t="str">
        <f t="shared" si="277"/>
        <v>FOR</v>
      </c>
      <c r="O2121" t="s">
        <v>69</v>
      </c>
      <c r="P2121" t="s">
        <v>75</v>
      </c>
      <c r="Q2121">
        <v>2016</v>
      </c>
      <c r="R2121" s="4">
        <v>42643</v>
      </c>
      <c r="S2121" s="2">
        <v>42647</v>
      </c>
      <c r="T2121" s="2">
        <v>42647</v>
      </c>
      <c r="U2121" s="4">
        <v>42707</v>
      </c>
      <c r="V2121" t="s">
        <v>71</v>
      </c>
      <c r="W2121" t="str">
        <f>"          1010377936"</f>
        <v xml:space="preserve">          1010377936</v>
      </c>
      <c r="X2121" s="1">
        <v>1332.24</v>
      </c>
      <c r="Y2121">
        <v>0</v>
      </c>
      <c r="Z2121" s="5">
        <v>1092</v>
      </c>
      <c r="AA2121" s="3">
        <v>60</v>
      </c>
      <c r="AB2121" s="5">
        <v>65520</v>
      </c>
      <c r="AC2121" s="1">
        <v>1092</v>
      </c>
      <c r="AD2121">
        <v>60</v>
      </c>
      <c r="AE2121" s="1">
        <v>65520</v>
      </c>
      <c r="AF2121">
        <v>0</v>
      </c>
      <c r="AJ2121">
        <v>0</v>
      </c>
      <c r="AK2121">
        <v>0</v>
      </c>
      <c r="AL2121">
        <v>0</v>
      </c>
      <c r="AM2121">
        <v>0</v>
      </c>
      <c r="AN2121">
        <v>0</v>
      </c>
      <c r="AO2121">
        <v>0</v>
      </c>
      <c r="AP2121" s="2">
        <v>42831</v>
      </c>
      <c r="AQ2121" t="s">
        <v>72</v>
      </c>
      <c r="AR2121" t="s">
        <v>72</v>
      </c>
      <c r="AS2121">
        <v>190</v>
      </c>
      <c r="AT2121" s="4">
        <v>42767</v>
      </c>
      <c r="AU2121" t="s">
        <v>73</v>
      </c>
      <c r="AV2121">
        <v>190</v>
      </c>
      <c r="AW2121" s="4">
        <v>42767</v>
      </c>
      <c r="BD2121">
        <v>0</v>
      </c>
      <c r="BN2121" t="s">
        <v>74</v>
      </c>
    </row>
    <row r="2122" spans="1:66">
      <c r="A2122">
        <v>106242</v>
      </c>
      <c r="B2122" t="s">
        <v>437</v>
      </c>
      <c r="C2122" s="1">
        <v>43300101</v>
      </c>
      <c r="D2122" t="s">
        <v>67</v>
      </c>
      <c r="H2122" t="str">
        <f t="shared" si="275"/>
        <v>01788080156</v>
      </c>
      <c r="I2122" t="str">
        <f t="shared" si="276"/>
        <v>02973040963</v>
      </c>
      <c r="K2122" t="str">
        <f>""</f>
        <v/>
      </c>
      <c r="M2122" t="s">
        <v>68</v>
      </c>
      <c r="N2122" t="str">
        <f t="shared" si="277"/>
        <v>FOR</v>
      </c>
      <c r="O2122" t="s">
        <v>69</v>
      </c>
      <c r="P2122" t="s">
        <v>75</v>
      </c>
      <c r="Q2122">
        <v>2016</v>
      </c>
      <c r="R2122" s="4">
        <v>42684</v>
      </c>
      <c r="S2122" s="2">
        <v>42685</v>
      </c>
      <c r="T2122" s="2">
        <v>42684</v>
      </c>
      <c r="U2122" s="4">
        <v>42744</v>
      </c>
      <c r="V2122" t="s">
        <v>71</v>
      </c>
      <c r="W2122" t="str">
        <f>"          1010384143"</f>
        <v xml:space="preserve">          1010384143</v>
      </c>
      <c r="X2122">
        <v>915</v>
      </c>
      <c r="Y2122">
        <v>0</v>
      </c>
      <c r="Z2122" s="5">
        <v>750</v>
      </c>
      <c r="AA2122" s="3">
        <v>23</v>
      </c>
      <c r="AB2122" s="5">
        <v>17250</v>
      </c>
      <c r="AC2122">
        <v>750</v>
      </c>
      <c r="AD2122">
        <v>23</v>
      </c>
      <c r="AE2122" s="1">
        <v>17250</v>
      </c>
      <c r="AF2122">
        <v>0</v>
      </c>
      <c r="AJ2122">
        <v>0</v>
      </c>
      <c r="AK2122">
        <v>0</v>
      </c>
      <c r="AL2122">
        <v>0</v>
      </c>
      <c r="AM2122">
        <v>0</v>
      </c>
      <c r="AN2122">
        <v>0</v>
      </c>
      <c r="AO2122">
        <v>0</v>
      </c>
      <c r="AP2122" s="2">
        <v>42831</v>
      </c>
      <c r="AQ2122" t="s">
        <v>72</v>
      </c>
      <c r="AR2122" t="s">
        <v>72</v>
      </c>
      <c r="AS2122">
        <v>190</v>
      </c>
      <c r="AT2122" s="4">
        <v>42767</v>
      </c>
      <c r="AU2122" t="s">
        <v>73</v>
      </c>
      <c r="AV2122">
        <v>190</v>
      </c>
      <c r="AW2122" s="4">
        <v>42767</v>
      </c>
      <c r="BD2122">
        <v>0</v>
      </c>
      <c r="BN2122" t="s">
        <v>74</v>
      </c>
    </row>
    <row r="2123" spans="1:66">
      <c r="A2123">
        <v>106242</v>
      </c>
      <c r="B2123" t="s">
        <v>437</v>
      </c>
      <c r="C2123" s="1">
        <v>43300101</v>
      </c>
      <c r="D2123" t="s">
        <v>67</v>
      </c>
      <c r="H2123" t="str">
        <f t="shared" si="275"/>
        <v>01788080156</v>
      </c>
      <c r="I2123" t="str">
        <f t="shared" si="276"/>
        <v>02973040963</v>
      </c>
      <c r="K2123" t="str">
        <f>""</f>
        <v/>
      </c>
      <c r="M2123" t="s">
        <v>68</v>
      </c>
      <c r="N2123" t="str">
        <f t="shared" si="277"/>
        <v>FOR</v>
      </c>
      <c r="O2123" t="s">
        <v>69</v>
      </c>
      <c r="P2123" t="s">
        <v>75</v>
      </c>
      <c r="Q2123">
        <v>2016</v>
      </c>
      <c r="R2123" s="4">
        <v>42684</v>
      </c>
      <c r="S2123" s="2">
        <v>42685</v>
      </c>
      <c r="T2123" s="2">
        <v>42684</v>
      </c>
      <c r="U2123" s="4">
        <v>42744</v>
      </c>
      <c r="V2123" t="s">
        <v>71</v>
      </c>
      <c r="W2123" t="str">
        <f>"          1010384145"</f>
        <v xml:space="preserve">          1010384145</v>
      </c>
      <c r="X2123">
        <v>915</v>
      </c>
      <c r="Y2123">
        <v>0</v>
      </c>
      <c r="Z2123" s="5">
        <v>750</v>
      </c>
      <c r="AA2123" s="3">
        <v>23</v>
      </c>
      <c r="AB2123" s="5">
        <v>17250</v>
      </c>
      <c r="AC2123">
        <v>750</v>
      </c>
      <c r="AD2123">
        <v>23</v>
      </c>
      <c r="AE2123" s="1">
        <v>17250</v>
      </c>
      <c r="AF2123">
        <v>0</v>
      </c>
      <c r="AJ2123">
        <v>0</v>
      </c>
      <c r="AK2123">
        <v>0</v>
      </c>
      <c r="AL2123">
        <v>0</v>
      </c>
      <c r="AM2123">
        <v>0</v>
      </c>
      <c r="AN2123">
        <v>0</v>
      </c>
      <c r="AO2123">
        <v>0</v>
      </c>
      <c r="AP2123" s="2">
        <v>42831</v>
      </c>
      <c r="AQ2123" t="s">
        <v>72</v>
      </c>
      <c r="AR2123" t="s">
        <v>72</v>
      </c>
      <c r="AS2123">
        <v>190</v>
      </c>
      <c r="AT2123" s="4">
        <v>42767</v>
      </c>
      <c r="AU2123" t="s">
        <v>73</v>
      </c>
      <c r="AV2123">
        <v>190</v>
      </c>
      <c r="AW2123" s="4">
        <v>42767</v>
      </c>
      <c r="BD2123">
        <v>0</v>
      </c>
      <c r="BN2123" t="s">
        <v>74</v>
      </c>
    </row>
    <row r="2124" spans="1:66">
      <c r="A2124">
        <v>106242</v>
      </c>
      <c r="B2124" t="s">
        <v>437</v>
      </c>
      <c r="C2124" s="1">
        <v>43300101</v>
      </c>
      <c r="D2124" t="s">
        <v>67</v>
      </c>
      <c r="H2124" t="str">
        <f t="shared" si="275"/>
        <v>01788080156</v>
      </c>
      <c r="I2124" t="str">
        <f t="shared" si="276"/>
        <v>02973040963</v>
      </c>
      <c r="K2124" t="str">
        <f>""</f>
        <v/>
      </c>
      <c r="M2124" t="s">
        <v>68</v>
      </c>
      <c r="N2124" t="str">
        <f t="shared" si="277"/>
        <v>FOR</v>
      </c>
      <c r="O2124" t="s">
        <v>69</v>
      </c>
      <c r="P2124" t="s">
        <v>75</v>
      </c>
      <c r="Q2124">
        <v>2016</v>
      </c>
      <c r="R2124" s="4">
        <v>42684</v>
      </c>
      <c r="S2124" s="2">
        <v>42685</v>
      </c>
      <c r="T2124" s="2">
        <v>42684</v>
      </c>
      <c r="U2124" s="4">
        <v>42744</v>
      </c>
      <c r="V2124" t="s">
        <v>71</v>
      </c>
      <c r="W2124" t="str">
        <f>"          1010384147"</f>
        <v xml:space="preserve">          1010384147</v>
      </c>
      <c r="X2124">
        <v>915</v>
      </c>
      <c r="Y2124">
        <v>0</v>
      </c>
      <c r="Z2124" s="5">
        <v>750</v>
      </c>
      <c r="AA2124" s="3">
        <v>23</v>
      </c>
      <c r="AB2124" s="5">
        <v>17250</v>
      </c>
      <c r="AC2124">
        <v>750</v>
      </c>
      <c r="AD2124">
        <v>23</v>
      </c>
      <c r="AE2124" s="1">
        <v>17250</v>
      </c>
      <c r="AF2124">
        <v>0</v>
      </c>
      <c r="AJ2124">
        <v>0</v>
      </c>
      <c r="AK2124">
        <v>0</v>
      </c>
      <c r="AL2124">
        <v>0</v>
      </c>
      <c r="AM2124">
        <v>0</v>
      </c>
      <c r="AN2124">
        <v>0</v>
      </c>
      <c r="AO2124">
        <v>0</v>
      </c>
      <c r="AP2124" s="2">
        <v>42831</v>
      </c>
      <c r="AQ2124" t="s">
        <v>72</v>
      </c>
      <c r="AR2124" t="s">
        <v>72</v>
      </c>
      <c r="AS2124">
        <v>190</v>
      </c>
      <c r="AT2124" s="4">
        <v>42767</v>
      </c>
      <c r="AU2124" t="s">
        <v>73</v>
      </c>
      <c r="AV2124">
        <v>190</v>
      </c>
      <c r="AW2124" s="4">
        <v>42767</v>
      </c>
      <c r="BD2124">
        <v>0</v>
      </c>
      <c r="BN2124" t="s">
        <v>74</v>
      </c>
    </row>
    <row r="2125" spans="1:66">
      <c r="A2125">
        <v>106242</v>
      </c>
      <c r="B2125" t="s">
        <v>437</v>
      </c>
      <c r="C2125" s="1">
        <v>43300101</v>
      </c>
      <c r="D2125" t="s">
        <v>67</v>
      </c>
      <c r="H2125" t="str">
        <f t="shared" si="275"/>
        <v>01788080156</v>
      </c>
      <c r="I2125" t="str">
        <f t="shared" si="276"/>
        <v>02973040963</v>
      </c>
      <c r="K2125" t="str">
        <f>""</f>
        <v/>
      </c>
      <c r="M2125" t="s">
        <v>68</v>
      </c>
      <c r="N2125" t="str">
        <f t="shared" si="277"/>
        <v>FOR</v>
      </c>
      <c r="O2125" t="s">
        <v>69</v>
      </c>
      <c r="P2125" t="s">
        <v>75</v>
      </c>
      <c r="Q2125">
        <v>2016</v>
      </c>
      <c r="R2125" s="4">
        <v>42716</v>
      </c>
      <c r="S2125" s="2">
        <v>42717</v>
      </c>
      <c r="T2125" s="2">
        <v>42716</v>
      </c>
      <c r="U2125" s="4">
        <v>42776</v>
      </c>
      <c r="V2125" t="s">
        <v>71</v>
      </c>
      <c r="W2125" t="str">
        <f>"          1010389855"</f>
        <v xml:space="preserve">          1010389855</v>
      </c>
      <c r="X2125">
        <v>915</v>
      </c>
      <c r="Y2125">
        <v>0</v>
      </c>
      <c r="Z2125" s="5">
        <v>750</v>
      </c>
      <c r="AA2125" s="3">
        <v>-4</v>
      </c>
      <c r="AB2125" s="5">
        <v>-3000</v>
      </c>
      <c r="AC2125">
        <v>750</v>
      </c>
      <c r="AD2125">
        <v>-4</v>
      </c>
      <c r="AE2125" s="1">
        <v>-3000</v>
      </c>
      <c r="AF2125">
        <v>0</v>
      </c>
      <c r="AJ2125">
        <v>0</v>
      </c>
      <c r="AK2125">
        <v>0</v>
      </c>
      <c r="AL2125">
        <v>0</v>
      </c>
      <c r="AM2125">
        <v>0</v>
      </c>
      <c r="AN2125">
        <v>0</v>
      </c>
      <c r="AO2125">
        <v>0</v>
      </c>
      <c r="AP2125" s="2">
        <v>42831</v>
      </c>
      <c r="AQ2125" t="s">
        <v>72</v>
      </c>
      <c r="AR2125" t="s">
        <v>72</v>
      </c>
      <c r="AS2125">
        <v>297</v>
      </c>
      <c r="AT2125" s="4">
        <v>42772</v>
      </c>
      <c r="AV2125">
        <v>297</v>
      </c>
      <c r="AW2125" s="4">
        <v>42772</v>
      </c>
      <c r="BD2125">
        <v>0</v>
      </c>
      <c r="BN2125" t="s">
        <v>74</v>
      </c>
    </row>
    <row r="2126" spans="1:66">
      <c r="A2126">
        <v>106242</v>
      </c>
      <c r="B2126" t="s">
        <v>437</v>
      </c>
      <c r="C2126" s="1">
        <v>43300101</v>
      </c>
      <c r="D2126" t="s">
        <v>67</v>
      </c>
      <c r="H2126" t="str">
        <f t="shared" si="275"/>
        <v>01788080156</v>
      </c>
      <c r="I2126" t="str">
        <f t="shared" si="276"/>
        <v>02973040963</v>
      </c>
      <c r="K2126" t="str">
        <f>""</f>
        <v/>
      </c>
      <c r="M2126" t="s">
        <v>68</v>
      </c>
      <c r="N2126" t="str">
        <f t="shared" si="277"/>
        <v>FOR</v>
      </c>
      <c r="O2126" t="s">
        <v>69</v>
      </c>
      <c r="P2126" t="s">
        <v>75</v>
      </c>
      <c r="Q2126">
        <v>2016</v>
      </c>
      <c r="R2126" s="4">
        <v>42716</v>
      </c>
      <c r="S2126" s="2">
        <v>42718</v>
      </c>
      <c r="T2126" s="2">
        <v>42717</v>
      </c>
      <c r="U2126" s="4">
        <v>42777</v>
      </c>
      <c r="V2126" t="s">
        <v>71</v>
      </c>
      <c r="W2126" t="str">
        <f>"          1010390250"</f>
        <v xml:space="preserve">          1010390250</v>
      </c>
      <c r="X2126" s="1">
        <v>2739.5</v>
      </c>
      <c r="Y2126">
        <v>0</v>
      </c>
      <c r="Z2126" s="5">
        <v>2245.4899999999998</v>
      </c>
      <c r="AA2126" s="3">
        <v>-5</v>
      </c>
      <c r="AB2126" s="5">
        <v>-11227.45</v>
      </c>
      <c r="AC2126" s="1">
        <v>2245.4899999999998</v>
      </c>
      <c r="AD2126">
        <v>-5</v>
      </c>
      <c r="AE2126" s="1">
        <v>-11227.45</v>
      </c>
      <c r="AF2126">
        <v>0</v>
      </c>
      <c r="AJ2126">
        <v>0</v>
      </c>
      <c r="AK2126">
        <v>0</v>
      </c>
      <c r="AL2126">
        <v>0</v>
      </c>
      <c r="AM2126">
        <v>0</v>
      </c>
      <c r="AN2126">
        <v>0</v>
      </c>
      <c r="AO2126">
        <v>0</v>
      </c>
      <c r="AP2126" s="2">
        <v>42831</v>
      </c>
      <c r="AQ2126" t="s">
        <v>72</v>
      </c>
      <c r="AR2126" t="s">
        <v>72</v>
      </c>
      <c r="AS2126">
        <v>297</v>
      </c>
      <c r="AT2126" s="4">
        <v>42772</v>
      </c>
      <c r="AV2126">
        <v>297</v>
      </c>
      <c r="AW2126" s="4">
        <v>42772</v>
      </c>
      <c r="BD2126">
        <v>0</v>
      </c>
      <c r="BN2126" t="s">
        <v>74</v>
      </c>
    </row>
    <row r="2127" spans="1:66">
      <c r="A2127">
        <v>106242</v>
      </c>
      <c r="B2127" t="s">
        <v>437</v>
      </c>
      <c r="C2127" s="1">
        <v>43300101</v>
      </c>
      <c r="D2127" t="s">
        <v>67</v>
      </c>
      <c r="H2127" t="str">
        <f t="shared" si="275"/>
        <v>01788080156</v>
      </c>
      <c r="I2127" t="str">
        <f t="shared" si="276"/>
        <v>02973040963</v>
      </c>
      <c r="K2127" t="str">
        <f>""</f>
        <v/>
      </c>
      <c r="M2127" t="s">
        <v>68</v>
      </c>
      <c r="N2127" t="str">
        <f t="shared" si="277"/>
        <v>FOR</v>
      </c>
      <c r="O2127" t="s">
        <v>69</v>
      </c>
      <c r="P2127" t="s">
        <v>75</v>
      </c>
      <c r="Q2127">
        <v>2016</v>
      </c>
      <c r="R2127" s="4">
        <v>42716</v>
      </c>
      <c r="S2127" s="2">
        <v>42718</v>
      </c>
      <c r="T2127" s="2">
        <v>42717</v>
      </c>
      <c r="U2127" s="4">
        <v>42777</v>
      </c>
      <c r="V2127" t="s">
        <v>71</v>
      </c>
      <c r="W2127" t="str">
        <f>"          1010390536"</f>
        <v xml:space="preserve">          1010390536</v>
      </c>
      <c r="X2127">
        <v>393.52</v>
      </c>
      <c r="Y2127">
        <v>0</v>
      </c>
      <c r="Z2127" s="5">
        <v>322.56</v>
      </c>
      <c r="AA2127" s="3">
        <v>-5</v>
      </c>
      <c r="AB2127" s="5">
        <v>-1612.8</v>
      </c>
      <c r="AC2127">
        <v>322.56</v>
      </c>
      <c r="AD2127">
        <v>-5</v>
      </c>
      <c r="AE2127" s="1">
        <v>-1612.8</v>
      </c>
      <c r="AF2127">
        <v>0</v>
      </c>
      <c r="AJ2127">
        <v>0</v>
      </c>
      <c r="AK2127">
        <v>0</v>
      </c>
      <c r="AL2127">
        <v>0</v>
      </c>
      <c r="AM2127">
        <v>0</v>
      </c>
      <c r="AN2127">
        <v>0</v>
      </c>
      <c r="AO2127">
        <v>0</v>
      </c>
      <c r="AP2127" s="2">
        <v>42831</v>
      </c>
      <c r="AQ2127" t="s">
        <v>72</v>
      </c>
      <c r="AR2127" t="s">
        <v>72</v>
      </c>
      <c r="AS2127">
        <v>297</v>
      </c>
      <c r="AT2127" s="4">
        <v>42772</v>
      </c>
      <c r="AV2127">
        <v>297</v>
      </c>
      <c r="AW2127" s="4">
        <v>42772</v>
      </c>
      <c r="BD2127">
        <v>0</v>
      </c>
      <c r="BN2127" t="s">
        <v>74</v>
      </c>
    </row>
    <row r="2128" spans="1:66">
      <c r="A2128">
        <v>106242</v>
      </c>
      <c r="B2128" t="s">
        <v>437</v>
      </c>
      <c r="C2128" s="1">
        <v>43300101</v>
      </c>
      <c r="D2128" t="s">
        <v>67</v>
      </c>
      <c r="H2128" t="str">
        <f t="shared" si="275"/>
        <v>01788080156</v>
      </c>
      <c r="I2128" t="str">
        <f t="shared" si="276"/>
        <v>02973040963</v>
      </c>
      <c r="K2128" t="str">
        <f>""</f>
        <v/>
      </c>
      <c r="M2128" t="s">
        <v>68</v>
      </c>
      <c r="N2128" t="str">
        <f t="shared" si="277"/>
        <v>FOR</v>
      </c>
      <c r="O2128" t="s">
        <v>69</v>
      </c>
      <c r="P2128" t="s">
        <v>75</v>
      </c>
      <c r="Q2128">
        <v>2016</v>
      </c>
      <c r="R2128" s="4">
        <v>42734</v>
      </c>
      <c r="S2128" s="2">
        <v>42735</v>
      </c>
      <c r="T2128" s="2">
        <v>42734</v>
      </c>
      <c r="U2128" s="4">
        <v>42794</v>
      </c>
      <c r="V2128" t="s">
        <v>71</v>
      </c>
      <c r="W2128" t="str">
        <f>"          1010394311"</f>
        <v xml:space="preserve">          1010394311</v>
      </c>
      <c r="X2128" s="1">
        <v>1332.24</v>
      </c>
      <c r="Y2128">
        <v>0</v>
      </c>
      <c r="Z2128" s="5">
        <v>1092</v>
      </c>
      <c r="AA2128" s="3">
        <v>-22</v>
      </c>
      <c r="AB2128" s="5">
        <v>-24024</v>
      </c>
      <c r="AC2128" s="1">
        <v>1092</v>
      </c>
      <c r="AD2128">
        <v>-22</v>
      </c>
      <c r="AE2128" s="1">
        <v>-24024</v>
      </c>
      <c r="AF2128">
        <v>0</v>
      </c>
      <c r="AJ2128">
        <v>0</v>
      </c>
      <c r="AK2128">
        <v>0</v>
      </c>
      <c r="AL2128">
        <v>0</v>
      </c>
      <c r="AM2128">
        <v>0</v>
      </c>
      <c r="AN2128">
        <v>0</v>
      </c>
      <c r="AO2128">
        <v>0</v>
      </c>
      <c r="AP2128" s="2">
        <v>42831</v>
      </c>
      <c r="AQ2128" t="s">
        <v>72</v>
      </c>
      <c r="AR2128" t="s">
        <v>72</v>
      </c>
      <c r="AS2128">
        <v>297</v>
      </c>
      <c r="AT2128" s="4">
        <v>42772</v>
      </c>
      <c r="AV2128">
        <v>297</v>
      </c>
      <c r="AW2128" s="4">
        <v>42772</v>
      </c>
      <c r="BD2128">
        <v>0</v>
      </c>
      <c r="BN2128" t="s">
        <v>74</v>
      </c>
    </row>
    <row r="2129" spans="1:66">
      <c r="A2129">
        <v>106243</v>
      </c>
      <c r="B2129" t="s">
        <v>438</v>
      </c>
      <c r="C2129" s="1">
        <v>43500101</v>
      </c>
      <c r="D2129" t="s">
        <v>98</v>
      </c>
      <c r="H2129" t="str">
        <f>"MLLCCT90A53F839L"</f>
        <v>MLLCCT90A53F839L</v>
      </c>
      <c r="I2129" t="str">
        <f>"07277861212"</f>
        <v>07277861212</v>
      </c>
      <c r="K2129" t="str">
        <f>""</f>
        <v/>
      </c>
      <c r="M2129" t="s">
        <v>68</v>
      </c>
      <c r="N2129" t="str">
        <f>"ALTPRO"</f>
        <v>ALTPRO</v>
      </c>
      <c r="O2129" t="s">
        <v>116</v>
      </c>
      <c r="P2129" t="s">
        <v>89</v>
      </c>
      <c r="Q2129">
        <v>2016</v>
      </c>
      <c r="R2129" s="4">
        <v>42639</v>
      </c>
      <c r="S2129" s="2">
        <v>42655</v>
      </c>
      <c r="T2129" s="2">
        <v>42655</v>
      </c>
      <c r="U2129" s="4">
        <v>42715</v>
      </c>
      <c r="V2129" t="s">
        <v>71</v>
      </c>
      <c r="W2129" t="str">
        <f>"                   1"</f>
        <v xml:space="preserve">                   1</v>
      </c>
      <c r="X2129">
        <v>-20</v>
      </c>
      <c r="Y2129">
        <v>0</v>
      </c>
      <c r="Z2129" s="5">
        <v>-20</v>
      </c>
      <c r="AA2129" s="3">
        <v>64</v>
      </c>
      <c r="AB2129" s="5">
        <v>-1280</v>
      </c>
      <c r="AC2129">
        <v>-20</v>
      </c>
      <c r="AD2129">
        <v>64</v>
      </c>
      <c r="AE2129" s="1">
        <v>-1280</v>
      </c>
      <c r="AF2129">
        <v>0</v>
      </c>
      <c r="AJ2129">
        <v>0</v>
      </c>
      <c r="AK2129">
        <v>0</v>
      </c>
      <c r="AL2129">
        <v>0</v>
      </c>
      <c r="AM2129">
        <v>0</v>
      </c>
      <c r="AN2129">
        <v>0</v>
      </c>
      <c r="AO2129">
        <v>0</v>
      </c>
      <c r="AP2129" s="2">
        <v>42831</v>
      </c>
      <c r="AQ2129" t="s">
        <v>72</v>
      </c>
      <c r="AR2129" t="s">
        <v>72</v>
      </c>
      <c r="AS2129">
        <v>418</v>
      </c>
      <c r="AT2129" s="4">
        <v>42779</v>
      </c>
      <c r="AU2129" t="s">
        <v>73</v>
      </c>
      <c r="AV2129">
        <v>418</v>
      </c>
      <c r="AW2129" s="4">
        <v>42779</v>
      </c>
      <c r="BD2129">
        <v>0</v>
      </c>
      <c r="BN2129" t="s">
        <v>74</v>
      </c>
    </row>
    <row r="2130" spans="1:66">
      <c r="A2130">
        <v>106243</v>
      </c>
      <c r="B2130" t="s">
        <v>438</v>
      </c>
      <c r="C2130" s="1">
        <v>43500101</v>
      </c>
      <c r="D2130" t="s">
        <v>98</v>
      </c>
      <c r="H2130" t="str">
        <f>"MLLCCT90A53F839L"</f>
        <v>MLLCCT90A53F839L</v>
      </c>
      <c r="I2130" t="str">
        <f>"07277861212"</f>
        <v>07277861212</v>
      </c>
      <c r="K2130" t="str">
        <f>""</f>
        <v/>
      </c>
      <c r="M2130" t="s">
        <v>68</v>
      </c>
      <c r="N2130" t="str">
        <f>"ALTPRO"</f>
        <v>ALTPRO</v>
      </c>
      <c r="O2130" t="s">
        <v>116</v>
      </c>
      <c r="P2130" t="s">
        <v>75</v>
      </c>
      <c r="Q2130">
        <v>2016</v>
      </c>
      <c r="R2130" s="4">
        <v>42639</v>
      </c>
      <c r="S2130" s="2">
        <v>42648</v>
      </c>
      <c r="T2130" s="2">
        <v>42647</v>
      </c>
      <c r="U2130" s="4">
        <v>42707</v>
      </c>
      <c r="V2130" t="s">
        <v>71</v>
      </c>
      <c r="W2130" t="str">
        <f>"                  12"</f>
        <v xml:space="preserve">                  12</v>
      </c>
      <c r="X2130">
        <v>416.66</v>
      </c>
      <c r="Y2130">
        <v>0</v>
      </c>
      <c r="Z2130" s="5">
        <v>416.66</v>
      </c>
      <c r="AA2130" s="3">
        <v>72</v>
      </c>
      <c r="AB2130" s="5">
        <v>29999.52</v>
      </c>
      <c r="AC2130">
        <v>416.66</v>
      </c>
      <c r="AD2130">
        <v>72</v>
      </c>
      <c r="AE2130" s="1">
        <v>29999.52</v>
      </c>
      <c r="AF2130">
        <v>0</v>
      </c>
      <c r="AJ2130">
        <v>0</v>
      </c>
      <c r="AK2130">
        <v>0</v>
      </c>
      <c r="AL2130">
        <v>0</v>
      </c>
      <c r="AM2130">
        <v>0</v>
      </c>
      <c r="AN2130">
        <v>0</v>
      </c>
      <c r="AO2130">
        <v>0</v>
      </c>
      <c r="AP2130" s="2">
        <v>42831</v>
      </c>
      <c r="AQ2130" t="s">
        <v>72</v>
      </c>
      <c r="AR2130" t="s">
        <v>72</v>
      </c>
      <c r="AS2130">
        <v>418</v>
      </c>
      <c r="AT2130" s="4">
        <v>42779</v>
      </c>
      <c r="AU2130" t="s">
        <v>73</v>
      </c>
      <c r="AV2130">
        <v>418</v>
      </c>
      <c r="AW2130" s="4">
        <v>42779</v>
      </c>
      <c r="BD2130">
        <v>0</v>
      </c>
      <c r="BN2130" t="s">
        <v>74</v>
      </c>
    </row>
    <row r="2131" spans="1:66">
      <c r="A2131">
        <v>106246</v>
      </c>
      <c r="B2131" t="s">
        <v>439</v>
      </c>
      <c r="C2131" s="1">
        <v>43500101</v>
      </c>
      <c r="D2131" t="s">
        <v>98</v>
      </c>
      <c r="H2131" t="str">
        <f>"ZRGNNL83L62A783M"</f>
        <v>ZRGNNL83L62A783M</v>
      </c>
      <c r="I2131" t="str">
        <f>"01548180627"</f>
        <v>01548180627</v>
      </c>
      <c r="K2131" t="str">
        <f>""</f>
        <v/>
      </c>
      <c r="M2131" t="s">
        <v>68</v>
      </c>
      <c r="N2131" t="str">
        <f>"ALTPRO"</f>
        <v>ALTPRO</v>
      </c>
      <c r="O2131" t="s">
        <v>116</v>
      </c>
      <c r="P2131" t="s">
        <v>75</v>
      </c>
      <c r="Q2131">
        <v>2016</v>
      </c>
      <c r="R2131" s="4">
        <v>42671</v>
      </c>
      <c r="S2131" s="2">
        <v>42674</v>
      </c>
      <c r="T2131" s="2">
        <v>42671</v>
      </c>
      <c r="U2131" s="4">
        <v>42731</v>
      </c>
      <c r="V2131" t="s">
        <v>71</v>
      </c>
      <c r="W2131" t="str">
        <f>"        FATTPA 10_16"</f>
        <v xml:space="preserve">        FATTPA 10_16</v>
      </c>
      <c r="X2131">
        <v>416.66</v>
      </c>
      <c r="Y2131">
        <v>0</v>
      </c>
      <c r="Z2131" s="5">
        <v>416.66</v>
      </c>
      <c r="AA2131" s="3">
        <v>48</v>
      </c>
      <c r="AB2131" s="5">
        <v>19999.68</v>
      </c>
      <c r="AC2131">
        <v>416.66</v>
      </c>
      <c r="AD2131">
        <v>48</v>
      </c>
      <c r="AE2131" s="1">
        <v>19999.68</v>
      </c>
      <c r="AF2131">
        <v>0</v>
      </c>
      <c r="AJ2131">
        <v>0</v>
      </c>
      <c r="AK2131">
        <v>0</v>
      </c>
      <c r="AL2131">
        <v>0</v>
      </c>
      <c r="AM2131">
        <v>0</v>
      </c>
      <c r="AN2131">
        <v>0</v>
      </c>
      <c r="AO2131">
        <v>0</v>
      </c>
      <c r="AP2131" s="2">
        <v>42831</v>
      </c>
      <c r="AQ2131" t="s">
        <v>72</v>
      </c>
      <c r="AR2131" t="s">
        <v>72</v>
      </c>
      <c r="AS2131">
        <v>416</v>
      </c>
      <c r="AT2131" s="4">
        <v>42779</v>
      </c>
      <c r="AU2131" t="s">
        <v>73</v>
      </c>
      <c r="AV2131">
        <v>416</v>
      </c>
      <c r="AW2131" s="4">
        <v>42779</v>
      </c>
      <c r="BD2131">
        <v>0</v>
      </c>
      <c r="BN2131" t="s">
        <v>74</v>
      </c>
    </row>
    <row r="2132" spans="1:66">
      <c r="A2132">
        <v>106246</v>
      </c>
      <c r="B2132" t="s">
        <v>439</v>
      </c>
      <c r="C2132" s="1">
        <v>43500101</v>
      </c>
      <c r="D2132" t="s">
        <v>98</v>
      </c>
      <c r="H2132" t="str">
        <f>"ZRGNNL83L62A783M"</f>
        <v>ZRGNNL83L62A783M</v>
      </c>
      <c r="I2132" t="str">
        <f>"01548180627"</f>
        <v>01548180627</v>
      </c>
      <c r="K2132" t="str">
        <f>""</f>
        <v/>
      </c>
      <c r="M2132" t="s">
        <v>68</v>
      </c>
      <c r="N2132" t="str">
        <f>"ALTPRO"</f>
        <v>ALTPRO</v>
      </c>
      <c r="O2132" t="s">
        <v>116</v>
      </c>
      <c r="P2132" t="s">
        <v>440</v>
      </c>
      <c r="Q2132">
        <v>2016</v>
      </c>
      <c r="R2132" s="4">
        <v>42762</v>
      </c>
      <c r="S2132" s="2">
        <v>42681</v>
      </c>
      <c r="T2132" s="2">
        <v>42679</v>
      </c>
      <c r="U2132" s="4">
        <v>42739</v>
      </c>
      <c r="V2132" t="s">
        <v>71</v>
      </c>
      <c r="W2132" t="str">
        <f>"        FATTPA 11_16"</f>
        <v xml:space="preserve">        FATTPA 11_16</v>
      </c>
      <c r="X2132">
        <v>-25.74</v>
      </c>
      <c r="Y2132">
        <v>0</v>
      </c>
      <c r="Z2132" s="5">
        <v>-25.74</v>
      </c>
      <c r="AA2132" s="3">
        <v>-43</v>
      </c>
      <c r="AB2132" s="5">
        <v>1106.82</v>
      </c>
      <c r="AC2132">
        <v>-25.74</v>
      </c>
      <c r="AD2132">
        <v>-43</v>
      </c>
      <c r="AE2132" s="1">
        <v>1106.82</v>
      </c>
      <c r="AF2132">
        <v>0</v>
      </c>
      <c r="AJ2132">
        <v>4.68</v>
      </c>
      <c r="AK2132">
        <v>4.68</v>
      </c>
      <c r="AL2132">
        <v>4.68</v>
      </c>
      <c r="AM2132">
        <v>4.68</v>
      </c>
      <c r="AN2132">
        <v>4.68</v>
      </c>
      <c r="AO2132">
        <v>4.68</v>
      </c>
      <c r="AP2132" s="2">
        <v>42831</v>
      </c>
      <c r="AQ2132" t="s">
        <v>72</v>
      </c>
      <c r="AR2132" t="s">
        <v>72</v>
      </c>
      <c r="AS2132">
        <v>416</v>
      </c>
      <c r="AT2132" s="4">
        <v>42779</v>
      </c>
      <c r="AU2132" t="s">
        <v>73</v>
      </c>
      <c r="AV2132">
        <v>416</v>
      </c>
      <c r="AW2132" s="4">
        <v>42779</v>
      </c>
      <c r="BD2132">
        <v>0</v>
      </c>
      <c r="BN2132" t="s">
        <v>74</v>
      </c>
    </row>
    <row r="2133" spans="1:66" hidden="1">
      <c r="A2133">
        <v>106247</v>
      </c>
      <c r="B2133" t="s">
        <v>441</v>
      </c>
      <c r="C2133" s="1">
        <v>43500101</v>
      </c>
      <c r="D2133" t="s">
        <v>98</v>
      </c>
      <c r="H2133" t="str">
        <f>"DMRMDL72R42F799P"</f>
        <v>DMRMDL72R42F799P</v>
      </c>
      <c r="I2133" t="str">
        <f>""</f>
        <v/>
      </c>
      <c r="K2133" t="str">
        <f>""</f>
        <v/>
      </c>
      <c r="M2133" t="s">
        <v>68</v>
      </c>
      <c r="N2133" t="str">
        <f>"ALT"</f>
        <v>ALT</v>
      </c>
      <c r="O2133" t="s">
        <v>99</v>
      </c>
      <c r="P2133" t="s">
        <v>82</v>
      </c>
      <c r="Q2133">
        <v>2017</v>
      </c>
      <c r="R2133" s="4">
        <v>42755</v>
      </c>
      <c r="S2133" s="2">
        <v>42755</v>
      </c>
      <c r="T2133" s="2">
        <v>42755</v>
      </c>
      <c r="U2133" s="4">
        <v>42815</v>
      </c>
      <c r="V2133" t="s">
        <v>71</v>
      </c>
      <c r="W2133" t="str">
        <f>"                0120"</f>
        <v xml:space="preserve">                0120</v>
      </c>
      <c r="X2133">
        <v>0</v>
      </c>
      <c r="Y2133">
        <v>500</v>
      </c>
      <c r="Z2133" s="3">
        <v>500</v>
      </c>
      <c r="AA2133" s="3">
        <v>-57</v>
      </c>
      <c r="AB2133" s="5">
        <v>-28500</v>
      </c>
      <c r="AC2133">
        <v>500</v>
      </c>
      <c r="AD2133">
        <v>-57</v>
      </c>
      <c r="AE2133" s="1">
        <v>-28500</v>
      </c>
      <c r="AF2133">
        <v>0</v>
      </c>
      <c r="AJ2133">
        <v>500</v>
      </c>
      <c r="AK2133">
        <v>500</v>
      </c>
      <c r="AL2133">
        <v>500</v>
      </c>
      <c r="AM2133">
        <v>500</v>
      </c>
      <c r="AN2133">
        <v>500</v>
      </c>
      <c r="AO2133">
        <v>500</v>
      </c>
      <c r="AP2133" s="2">
        <v>42831</v>
      </c>
      <c r="AQ2133" t="s">
        <v>72</v>
      </c>
      <c r="AR2133" t="s">
        <v>72</v>
      </c>
      <c r="AS2133">
        <v>74</v>
      </c>
      <c r="AT2133" s="4">
        <v>42758</v>
      </c>
      <c r="AV2133">
        <v>74</v>
      </c>
      <c r="AW2133" s="4">
        <v>42758</v>
      </c>
      <c r="BD2133">
        <v>0</v>
      </c>
      <c r="BN2133" t="s">
        <v>74</v>
      </c>
    </row>
    <row r="2134" spans="1:66" hidden="1">
      <c r="A2134">
        <v>106247</v>
      </c>
      <c r="B2134" t="s">
        <v>441</v>
      </c>
      <c r="C2134" s="1">
        <v>43500101</v>
      </c>
      <c r="D2134" t="s">
        <v>98</v>
      </c>
      <c r="H2134" t="str">
        <f>"DMRMDL72R42F799P"</f>
        <v>DMRMDL72R42F799P</v>
      </c>
      <c r="I2134" t="str">
        <f>""</f>
        <v/>
      </c>
      <c r="K2134" t="str">
        <f>""</f>
        <v/>
      </c>
      <c r="M2134" t="s">
        <v>68</v>
      </c>
      <c r="N2134" t="str">
        <f>"ALT"</f>
        <v>ALT</v>
      </c>
      <c r="O2134" t="s">
        <v>99</v>
      </c>
      <c r="P2134" t="s">
        <v>83</v>
      </c>
      <c r="Q2134">
        <v>2017</v>
      </c>
      <c r="R2134" s="4">
        <v>42786</v>
      </c>
      <c r="S2134" s="2">
        <v>42787</v>
      </c>
      <c r="T2134" s="2">
        <v>42787</v>
      </c>
      <c r="U2134" s="4">
        <v>42847</v>
      </c>
      <c r="V2134" t="s">
        <v>71</v>
      </c>
      <c r="W2134" t="str">
        <f>"                0220"</f>
        <v xml:space="preserve">                0220</v>
      </c>
      <c r="X2134">
        <v>0</v>
      </c>
      <c r="Y2134">
        <v>500</v>
      </c>
      <c r="Z2134" s="3">
        <v>500</v>
      </c>
      <c r="AA2134" s="3">
        <v>-60</v>
      </c>
      <c r="AB2134" s="5">
        <v>-30000</v>
      </c>
      <c r="AC2134">
        <v>500</v>
      </c>
      <c r="AD2134">
        <v>-60</v>
      </c>
      <c r="AE2134" s="1">
        <v>-30000</v>
      </c>
      <c r="AF2134">
        <v>0</v>
      </c>
      <c r="AJ2134">
        <v>500</v>
      </c>
      <c r="AK2134">
        <v>500</v>
      </c>
      <c r="AL2134">
        <v>500</v>
      </c>
      <c r="AM2134">
        <v>500</v>
      </c>
      <c r="AN2134">
        <v>500</v>
      </c>
      <c r="AO2134">
        <v>500</v>
      </c>
      <c r="AP2134" s="2">
        <v>42831</v>
      </c>
      <c r="AQ2134" t="s">
        <v>72</v>
      </c>
      <c r="AR2134" t="s">
        <v>72</v>
      </c>
      <c r="AS2134">
        <v>554</v>
      </c>
      <c r="AT2134" s="4">
        <v>42787</v>
      </c>
      <c r="AV2134">
        <v>554</v>
      </c>
      <c r="AW2134" s="4">
        <v>42787</v>
      </c>
      <c r="BD2134">
        <v>0</v>
      </c>
      <c r="BN2134" t="s">
        <v>74</v>
      </c>
    </row>
    <row r="2135" spans="1:66" hidden="1">
      <c r="A2135">
        <v>106247</v>
      </c>
      <c r="B2135" t="s">
        <v>441</v>
      </c>
      <c r="C2135" s="1">
        <v>43500101</v>
      </c>
      <c r="D2135" t="s">
        <v>98</v>
      </c>
      <c r="H2135" t="str">
        <f>"DMRMDL72R42F799P"</f>
        <v>DMRMDL72R42F799P</v>
      </c>
      <c r="I2135" t="str">
        <f>""</f>
        <v/>
      </c>
      <c r="K2135" t="str">
        <f>""</f>
        <v/>
      </c>
      <c r="M2135" t="s">
        <v>68</v>
      </c>
      <c r="N2135" t="str">
        <f>"ALT"</f>
        <v>ALT</v>
      </c>
      <c r="O2135" t="s">
        <v>99</v>
      </c>
      <c r="P2135" t="s">
        <v>84</v>
      </c>
      <c r="Q2135">
        <v>2017</v>
      </c>
      <c r="R2135" s="4">
        <v>42815</v>
      </c>
      <c r="S2135" s="2">
        <v>42815</v>
      </c>
      <c r="T2135" s="2">
        <v>42815</v>
      </c>
      <c r="U2135" s="4">
        <v>42875</v>
      </c>
      <c r="V2135" t="s">
        <v>71</v>
      </c>
      <c r="W2135" t="str">
        <f>"                0321"</f>
        <v xml:space="preserve">                0321</v>
      </c>
      <c r="X2135">
        <v>0</v>
      </c>
      <c r="Y2135">
        <v>500</v>
      </c>
      <c r="Z2135" s="3">
        <v>500</v>
      </c>
      <c r="AA2135" s="3">
        <v>-60</v>
      </c>
      <c r="AB2135" s="5">
        <v>-30000</v>
      </c>
      <c r="AC2135">
        <v>500</v>
      </c>
      <c r="AD2135">
        <v>-60</v>
      </c>
      <c r="AE2135" s="1">
        <v>-30000</v>
      </c>
      <c r="AF2135">
        <v>0</v>
      </c>
      <c r="AJ2135">
        <v>500</v>
      </c>
      <c r="AK2135">
        <v>500</v>
      </c>
      <c r="AL2135">
        <v>500</v>
      </c>
      <c r="AM2135">
        <v>500</v>
      </c>
      <c r="AN2135">
        <v>500</v>
      </c>
      <c r="AO2135">
        <v>500</v>
      </c>
      <c r="AP2135" s="2">
        <v>42831</v>
      </c>
      <c r="AQ2135" t="s">
        <v>72</v>
      </c>
      <c r="AR2135" t="s">
        <v>72</v>
      </c>
      <c r="AS2135">
        <v>851</v>
      </c>
      <c r="AT2135" s="4">
        <v>42815</v>
      </c>
      <c r="AV2135">
        <v>851</v>
      </c>
      <c r="AW2135" s="4">
        <v>42815</v>
      </c>
      <c r="BD2135">
        <v>0</v>
      </c>
      <c r="BN2135" t="s">
        <v>74</v>
      </c>
    </row>
    <row r="2136" spans="1:66">
      <c r="A2136">
        <v>106248</v>
      </c>
      <c r="B2136" t="s">
        <v>442</v>
      </c>
      <c r="C2136" s="1">
        <v>43300101</v>
      </c>
      <c r="D2136" t="s">
        <v>67</v>
      </c>
      <c r="H2136" t="str">
        <f t="shared" ref="H2136:I2138" si="278">"01538600626"</f>
        <v>01538600626</v>
      </c>
      <c r="I2136" t="str">
        <f t="shared" si="278"/>
        <v>01538600626</v>
      </c>
      <c r="K2136" t="str">
        <f>""</f>
        <v/>
      </c>
      <c r="M2136" t="s">
        <v>68</v>
      </c>
      <c r="N2136" t="str">
        <f t="shared" ref="N2136:N2158" si="279">"FOR"</f>
        <v>FOR</v>
      </c>
      <c r="O2136" t="s">
        <v>69</v>
      </c>
      <c r="P2136" t="s">
        <v>75</v>
      </c>
      <c r="Q2136">
        <v>2016</v>
      </c>
      <c r="R2136" s="4">
        <v>42551</v>
      </c>
      <c r="S2136" s="2">
        <v>42577</v>
      </c>
      <c r="T2136" s="2">
        <v>42570</v>
      </c>
      <c r="U2136" s="4">
        <v>42630</v>
      </c>
      <c r="V2136" t="s">
        <v>71</v>
      </c>
      <c r="W2136" t="str">
        <f>"                  76"</f>
        <v xml:space="preserve">                  76</v>
      </c>
      <c r="X2136">
        <v>938.76</v>
      </c>
      <c r="Y2136">
        <v>0</v>
      </c>
      <c r="Z2136" s="5">
        <v>775.79</v>
      </c>
      <c r="AA2136" s="3">
        <v>142</v>
      </c>
      <c r="AB2136" s="5">
        <v>110162.18</v>
      </c>
      <c r="AC2136">
        <v>775.79</v>
      </c>
      <c r="AD2136">
        <v>142</v>
      </c>
      <c r="AE2136" s="1">
        <v>110162.18</v>
      </c>
      <c r="AF2136">
        <v>162.97</v>
      </c>
      <c r="AJ2136">
        <v>0</v>
      </c>
      <c r="AK2136">
        <v>0</v>
      </c>
      <c r="AL2136">
        <v>0</v>
      </c>
      <c r="AM2136">
        <v>0</v>
      </c>
      <c r="AN2136">
        <v>0</v>
      </c>
      <c r="AO2136">
        <v>0</v>
      </c>
      <c r="AP2136" s="2">
        <v>42831</v>
      </c>
      <c r="AQ2136" t="s">
        <v>72</v>
      </c>
      <c r="AR2136" t="s">
        <v>72</v>
      </c>
      <c r="AS2136">
        <v>293</v>
      </c>
      <c r="AT2136" s="4">
        <v>42772</v>
      </c>
      <c r="AU2136" t="s">
        <v>73</v>
      </c>
      <c r="AV2136">
        <v>293</v>
      </c>
      <c r="AW2136" s="4">
        <v>42772</v>
      </c>
      <c r="BD2136">
        <v>162.97</v>
      </c>
      <c r="BN2136" t="s">
        <v>74</v>
      </c>
    </row>
    <row r="2137" spans="1:66">
      <c r="A2137">
        <v>106248</v>
      </c>
      <c r="B2137" t="s">
        <v>442</v>
      </c>
      <c r="C2137" s="1">
        <v>43300101</v>
      </c>
      <c r="D2137" t="s">
        <v>67</v>
      </c>
      <c r="H2137" t="str">
        <f t="shared" si="278"/>
        <v>01538600626</v>
      </c>
      <c r="I2137" t="str">
        <f t="shared" si="278"/>
        <v>01538600626</v>
      </c>
      <c r="K2137" t="str">
        <f>""</f>
        <v/>
      </c>
      <c r="M2137" t="s">
        <v>68</v>
      </c>
      <c r="N2137" t="str">
        <f t="shared" si="279"/>
        <v>FOR</v>
      </c>
      <c r="O2137" t="s">
        <v>69</v>
      </c>
      <c r="P2137" t="s">
        <v>75</v>
      </c>
      <c r="Q2137">
        <v>2016</v>
      </c>
      <c r="R2137" s="4">
        <v>42580</v>
      </c>
      <c r="S2137" s="2">
        <v>42591</v>
      </c>
      <c r="T2137" s="2">
        <v>42590</v>
      </c>
      <c r="U2137" s="4">
        <v>42650</v>
      </c>
      <c r="V2137" t="s">
        <v>71</v>
      </c>
      <c r="W2137" t="str">
        <f>"                  92"</f>
        <v xml:space="preserve">                  92</v>
      </c>
      <c r="X2137">
        <v>663.14</v>
      </c>
      <c r="Y2137">
        <v>0</v>
      </c>
      <c r="Z2137" s="5">
        <v>549.87</v>
      </c>
      <c r="AA2137" s="3">
        <v>122</v>
      </c>
      <c r="AB2137" s="5">
        <v>67084.14</v>
      </c>
      <c r="AC2137">
        <v>549.87</v>
      </c>
      <c r="AD2137">
        <v>122</v>
      </c>
      <c r="AE2137" s="1">
        <v>67084.14</v>
      </c>
      <c r="AF2137">
        <v>113.27</v>
      </c>
      <c r="AJ2137">
        <v>0</v>
      </c>
      <c r="AK2137">
        <v>0</v>
      </c>
      <c r="AL2137">
        <v>0</v>
      </c>
      <c r="AM2137">
        <v>0</v>
      </c>
      <c r="AN2137">
        <v>0</v>
      </c>
      <c r="AO2137">
        <v>0</v>
      </c>
      <c r="AP2137" s="2">
        <v>42831</v>
      </c>
      <c r="AQ2137" t="s">
        <v>72</v>
      </c>
      <c r="AR2137" t="s">
        <v>72</v>
      </c>
      <c r="AS2137">
        <v>293</v>
      </c>
      <c r="AT2137" s="4">
        <v>42772</v>
      </c>
      <c r="AU2137" t="s">
        <v>73</v>
      </c>
      <c r="AV2137">
        <v>293</v>
      </c>
      <c r="AW2137" s="4">
        <v>42772</v>
      </c>
      <c r="BC2137">
        <v>113.27</v>
      </c>
      <c r="BD2137">
        <v>0</v>
      </c>
      <c r="BN2137" t="s">
        <v>74</v>
      </c>
    </row>
    <row r="2138" spans="1:66">
      <c r="A2138">
        <v>106248</v>
      </c>
      <c r="B2138" t="s">
        <v>442</v>
      </c>
      <c r="C2138" s="1">
        <v>43300101</v>
      </c>
      <c r="D2138" t="s">
        <v>67</v>
      </c>
      <c r="H2138" t="str">
        <f t="shared" si="278"/>
        <v>01538600626</v>
      </c>
      <c r="I2138" t="str">
        <f t="shared" si="278"/>
        <v>01538600626</v>
      </c>
      <c r="K2138" t="str">
        <f>""</f>
        <v/>
      </c>
      <c r="M2138" t="s">
        <v>68</v>
      </c>
      <c r="N2138" t="str">
        <f t="shared" si="279"/>
        <v>FOR</v>
      </c>
      <c r="O2138" t="s">
        <v>69</v>
      </c>
      <c r="P2138" t="s">
        <v>75</v>
      </c>
      <c r="Q2138">
        <v>2016</v>
      </c>
      <c r="R2138" s="4">
        <v>42613</v>
      </c>
      <c r="S2138" s="2">
        <v>42619</v>
      </c>
      <c r="T2138" s="2">
        <v>42618</v>
      </c>
      <c r="U2138" s="4">
        <v>42678</v>
      </c>
      <c r="V2138" t="s">
        <v>71</v>
      </c>
      <c r="W2138" t="str">
        <f>"                  98"</f>
        <v xml:space="preserve">                  98</v>
      </c>
      <c r="X2138">
        <v>439.83</v>
      </c>
      <c r="Y2138">
        <v>0</v>
      </c>
      <c r="Z2138" s="5">
        <v>360.52</v>
      </c>
      <c r="AA2138" s="3">
        <v>94</v>
      </c>
      <c r="AB2138" s="5">
        <v>33888.879999999997</v>
      </c>
      <c r="AC2138">
        <v>360.52</v>
      </c>
      <c r="AD2138">
        <v>94</v>
      </c>
      <c r="AE2138" s="1">
        <v>33888.879999999997</v>
      </c>
      <c r="AF2138">
        <v>79.31</v>
      </c>
      <c r="AJ2138">
        <v>0</v>
      </c>
      <c r="AK2138">
        <v>0</v>
      </c>
      <c r="AL2138">
        <v>0</v>
      </c>
      <c r="AM2138">
        <v>0</v>
      </c>
      <c r="AN2138">
        <v>0</v>
      </c>
      <c r="AO2138">
        <v>0</v>
      </c>
      <c r="AP2138" s="2">
        <v>42831</v>
      </c>
      <c r="AQ2138" t="s">
        <v>72</v>
      </c>
      <c r="AR2138" t="s">
        <v>72</v>
      </c>
      <c r="AS2138">
        <v>293</v>
      </c>
      <c r="AT2138" s="4">
        <v>42772</v>
      </c>
      <c r="AU2138" t="s">
        <v>73</v>
      </c>
      <c r="AV2138">
        <v>293</v>
      </c>
      <c r="AW2138" s="4">
        <v>42772</v>
      </c>
      <c r="BB2138">
        <v>79.31</v>
      </c>
      <c r="BD2138">
        <v>0</v>
      </c>
      <c r="BN2138" t="s">
        <v>74</v>
      </c>
    </row>
    <row r="2139" spans="1:66">
      <c r="A2139">
        <v>106251</v>
      </c>
      <c r="B2139" t="s">
        <v>443</v>
      </c>
      <c r="C2139" s="1">
        <v>43300101</v>
      </c>
      <c r="D2139" t="s">
        <v>67</v>
      </c>
      <c r="H2139" t="str">
        <f t="shared" ref="H2139:H2158" si="280">"04742650585"</f>
        <v>04742650585</v>
      </c>
      <c r="I2139" t="str">
        <f t="shared" ref="I2139:I2158" si="281">"01296201005"</f>
        <v>01296201005</v>
      </c>
      <c r="K2139" t="str">
        <f>""</f>
        <v/>
      </c>
      <c r="M2139" t="s">
        <v>68</v>
      </c>
      <c r="N2139" t="str">
        <f t="shared" si="279"/>
        <v>FOR</v>
      </c>
      <c r="O2139" t="s">
        <v>69</v>
      </c>
      <c r="P2139" t="s">
        <v>70</v>
      </c>
      <c r="Q2139">
        <v>2015</v>
      </c>
      <c r="R2139" s="4">
        <v>42062</v>
      </c>
      <c r="S2139" s="2">
        <v>42515</v>
      </c>
      <c r="T2139" s="2">
        <v>42515</v>
      </c>
      <c r="U2139" s="4">
        <v>42575</v>
      </c>
      <c r="V2139" t="s">
        <v>71</v>
      </c>
      <c r="W2139" t="str">
        <f>"            10571/V2"</f>
        <v xml:space="preserve">            10571/V2</v>
      </c>
      <c r="X2139" s="1">
        <v>5895.96</v>
      </c>
      <c r="Y2139">
        <v>0</v>
      </c>
      <c r="Z2139" s="5">
        <v>4244.16</v>
      </c>
      <c r="AA2139" s="3">
        <v>192</v>
      </c>
      <c r="AB2139" s="5">
        <v>814878.71999999997</v>
      </c>
      <c r="AC2139" s="1">
        <v>4244.16</v>
      </c>
      <c r="AD2139">
        <v>192</v>
      </c>
      <c r="AE2139" s="1">
        <v>814878.71999999997</v>
      </c>
      <c r="AF2139">
        <v>0</v>
      </c>
      <c r="AJ2139">
        <v>0</v>
      </c>
      <c r="AK2139">
        <v>0</v>
      </c>
      <c r="AL2139">
        <v>0</v>
      </c>
      <c r="AM2139">
        <v>0</v>
      </c>
      <c r="AN2139">
        <v>0</v>
      </c>
      <c r="AO2139">
        <v>0</v>
      </c>
      <c r="AP2139" s="2">
        <v>42831</v>
      </c>
      <c r="AQ2139" t="s">
        <v>72</v>
      </c>
      <c r="AR2139" t="s">
        <v>72</v>
      </c>
      <c r="AS2139">
        <v>192</v>
      </c>
      <c r="AT2139" s="4">
        <v>42767</v>
      </c>
      <c r="AU2139" t="s">
        <v>73</v>
      </c>
      <c r="AV2139">
        <v>192</v>
      </c>
      <c r="AW2139" s="4">
        <v>42767</v>
      </c>
      <c r="BD2139">
        <v>0</v>
      </c>
      <c r="BN2139" t="s">
        <v>74</v>
      </c>
    </row>
    <row r="2140" spans="1:66">
      <c r="A2140">
        <v>106251</v>
      </c>
      <c r="B2140" t="s">
        <v>443</v>
      </c>
      <c r="C2140" s="1">
        <v>43300101</v>
      </c>
      <c r="D2140" t="s">
        <v>67</v>
      </c>
      <c r="H2140" t="str">
        <f t="shared" si="280"/>
        <v>04742650585</v>
      </c>
      <c r="I2140" t="str">
        <f t="shared" si="281"/>
        <v>01296201005</v>
      </c>
      <c r="K2140" t="str">
        <f>""</f>
        <v/>
      </c>
      <c r="M2140" t="s">
        <v>68</v>
      </c>
      <c r="N2140" t="str">
        <f t="shared" si="279"/>
        <v>FOR</v>
      </c>
      <c r="O2140" t="s">
        <v>69</v>
      </c>
      <c r="P2140" t="s">
        <v>75</v>
      </c>
      <c r="Q2140">
        <v>2016</v>
      </c>
      <c r="R2140" s="4">
        <v>42433</v>
      </c>
      <c r="S2140" s="2">
        <v>42438</v>
      </c>
      <c r="T2140" s="2">
        <v>42436</v>
      </c>
      <c r="U2140" s="4">
        <v>42496</v>
      </c>
      <c r="V2140" t="s">
        <v>71</v>
      </c>
      <c r="W2140" t="str">
        <f>"            10740/V2"</f>
        <v xml:space="preserve">            10740/V2</v>
      </c>
      <c r="X2140" s="1">
        <v>1747.04</v>
      </c>
      <c r="Y2140">
        <v>0</v>
      </c>
      <c r="Z2140" s="5">
        <v>1432</v>
      </c>
      <c r="AA2140" s="3">
        <v>271</v>
      </c>
      <c r="AB2140" s="5">
        <v>388072</v>
      </c>
      <c r="AC2140" s="1">
        <v>1432</v>
      </c>
      <c r="AD2140">
        <v>271</v>
      </c>
      <c r="AE2140" s="1">
        <v>388072</v>
      </c>
      <c r="AF2140">
        <v>0</v>
      </c>
      <c r="AJ2140">
        <v>0</v>
      </c>
      <c r="AK2140">
        <v>0</v>
      </c>
      <c r="AL2140">
        <v>0</v>
      </c>
      <c r="AM2140">
        <v>0</v>
      </c>
      <c r="AN2140">
        <v>0</v>
      </c>
      <c r="AO2140">
        <v>0</v>
      </c>
      <c r="AP2140" s="2">
        <v>42831</v>
      </c>
      <c r="AQ2140" t="s">
        <v>72</v>
      </c>
      <c r="AR2140" t="s">
        <v>72</v>
      </c>
      <c r="AS2140">
        <v>192</v>
      </c>
      <c r="AT2140" s="4">
        <v>42767</v>
      </c>
      <c r="AU2140" t="s">
        <v>73</v>
      </c>
      <c r="AV2140">
        <v>192</v>
      </c>
      <c r="AW2140" s="4">
        <v>42767</v>
      </c>
      <c r="BD2140">
        <v>0</v>
      </c>
      <c r="BN2140" t="s">
        <v>74</v>
      </c>
    </row>
    <row r="2141" spans="1:66">
      <c r="A2141">
        <v>106251</v>
      </c>
      <c r="B2141" t="s">
        <v>443</v>
      </c>
      <c r="C2141" s="1">
        <v>43300101</v>
      </c>
      <c r="D2141" t="s">
        <v>67</v>
      </c>
      <c r="H2141" t="str">
        <f t="shared" si="280"/>
        <v>04742650585</v>
      </c>
      <c r="I2141" t="str">
        <f t="shared" si="281"/>
        <v>01296201005</v>
      </c>
      <c r="K2141" t="str">
        <f>""</f>
        <v/>
      </c>
      <c r="M2141" t="s">
        <v>68</v>
      </c>
      <c r="N2141" t="str">
        <f t="shared" si="279"/>
        <v>FOR</v>
      </c>
      <c r="O2141" t="s">
        <v>69</v>
      </c>
      <c r="P2141" t="s">
        <v>75</v>
      </c>
      <c r="Q2141">
        <v>2016</v>
      </c>
      <c r="R2141" s="4">
        <v>42458</v>
      </c>
      <c r="S2141" s="2">
        <v>42464</v>
      </c>
      <c r="T2141" s="2">
        <v>42460</v>
      </c>
      <c r="U2141" s="4">
        <v>42520</v>
      </c>
      <c r="V2141" t="s">
        <v>71</v>
      </c>
      <c r="W2141" t="str">
        <f>"            11023/V2"</f>
        <v xml:space="preserve">            11023/V2</v>
      </c>
      <c r="X2141" s="1">
        <v>1747.04</v>
      </c>
      <c r="Y2141">
        <v>0</v>
      </c>
      <c r="Z2141" s="5">
        <v>1432</v>
      </c>
      <c r="AA2141" s="3">
        <v>247</v>
      </c>
      <c r="AB2141" s="5">
        <v>353704</v>
      </c>
      <c r="AC2141" s="1">
        <v>1432</v>
      </c>
      <c r="AD2141">
        <v>247</v>
      </c>
      <c r="AE2141" s="1">
        <v>353704</v>
      </c>
      <c r="AF2141">
        <v>0</v>
      </c>
      <c r="AJ2141">
        <v>0</v>
      </c>
      <c r="AK2141">
        <v>0</v>
      </c>
      <c r="AL2141">
        <v>0</v>
      </c>
      <c r="AM2141">
        <v>0</v>
      </c>
      <c r="AN2141">
        <v>0</v>
      </c>
      <c r="AO2141">
        <v>0</v>
      </c>
      <c r="AP2141" s="2">
        <v>42831</v>
      </c>
      <c r="AQ2141" t="s">
        <v>72</v>
      </c>
      <c r="AR2141" t="s">
        <v>72</v>
      </c>
      <c r="AS2141">
        <v>192</v>
      </c>
      <c r="AT2141" s="4">
        <v>42767</v>
      </c>
      <c r="AU2141" t="s">
        <v>73</v>
      </c>
      <c r="AV2141">
        <v>192</v>
      </c>
      <c r="AW2141" s="4">
        <v>42767</v>
      </c>
      <c r="BD2141">
        <v>0</v>
      </c>
      <c r="BN2141" t="s">
        <v>74</v>
      </c>
    </row>
    <row r="2142" spans="1:66">
      <c r="A2142">
        <v>106251</v>
      </c>
      <c r="B2142" t="s">
        <v>443</v>
      </c>
      <c r="C2142" s="1">
        <v>43300101</v>
      </c>
      <c r="D2142" t="s">
        <v>67</v>
      </c>
      <c r="H2142" t="str">
        <f t="shared" si="280"/>
        <v>04742650585</v>
      </c>
      <c r="I2142" t="str">
        <f t="shared" si="281"/>
        <v>01296201005</v>
      </c>
      <c r="K2142" t="str">
        <f>""</f>
        <v/>
      </c>
      <c r="M2142" t="s">
        <v>68</v>
      </c>
      <c r="N2142" t="str">
        <f t="shared" si="279"/>
        <v>FOR</v>
      </c>
      <c r="O2142" t="s">
        <v>69</v>
      </c>
      <c r="P2142" t="s">
        <v>75</v>
      </c>
      <c r="Q2142">
        <v>2016</v>
      </c>
      <c r="R2142" s="4">
        <v>42473</v>
      </c>
      <c r="S2142" s="2">
        <v>42478</v>
      </c>
      <c r="T2142" s="2">
        <v>42475</v>
      </c>
      <c r="U2142" s="4">
        <v>42535</v>
      </c>
      <c r="V2142" t="s">
        <v>71</v>
      </c>
      <c r="W2142" t="str">
        <f>"            11236/V2"</f>
        <v xml:space="preserve">            11236/V2</v>
      </c>
      <c r="X2142" s="1">
        <v>1317.6</v>
      </c>
      <c r="Y2142">
        <v>0</v>
      </c>
      <c r="Z2142" s="5">
        <v>1080</v>
      </c>
      <c r="AA2142" s="3">
        <v>232</v>
      </c>
      <c r="AB2142" s="5">
        <v>250560</v>
      </c>
      <c r="AC2142" s="1">
        <v>1080</v>
      </c>
      <c r="AD2142">
        <v>232</v>
      </c>
      <c r="AE2142" s="1">
        <v>250560</v>
      </c>
      <c r="AF2142">
        <v>0</v>
      </c>
      <c r="AJ2142">
        <v>0</v>
      </c>
      <c r="AK2142">
        <v>0</v>
      </c>
      <c r="AL2142">
        <v>0</v>
      </c>
      <c r="AM2142">
        <v>0</v>
      </c>
      <c r="AN2142">
        <v>0</v>
      </c>
      <c r="AO2142">
        <v>0</v>
      </c>
      <c r="AP2142" s="2">
        <v>42831</v>
      </c>
      <c r="AQ2142" t="s">
        <v>72</v>
      </c>
      <c r="AR2142" t="s">
        <v>72</v>
      </c>
      <c r="AS2142">
        <v>192</v>
      </c>
      <c r="AT2142" s="4">
        <v>42767</v>
      </c>
      <c r="AU2142" t="s">
        <v>73</v>
      </c>
      <c r="AV2142">
        <v>192</v>
      </c>
      <c r="AW2142" s="4">
        <v>42767</v>
      </c>
      <c r="BD2142">
        <v>0</v>
      </c>
      <c r="BN2142" t="s">
        <v>74</v>
      </c>
    </row>
    <row r="2143" spans="1:66">
      <c r="A2143">
        <v>106251</v>
      </c>
      <c r="B2143" t="s">
        <v>443</v>
      </c>
      <c r="C2143" s="1">
        <v>43300101</v>
      </c>
      <c r="D2143" t="s">
        <v>67</v>
      </c>
      <c r="H2143" t="str">
        <f t="shared" si="280"/>
        <v>04742650585</v>
      </c>
      <c r="I2143" t="str">
        <f t="shared" si="281"/>
        <v>01296201005</v>
      </c>
      <c r="K2143" t="str">
        <f>""</f>
        <v/>
      </c>
      <c r="M2143" t="s">
        <v>68</v>
      </c>
      <c r="N2143" t="str">
        <f t="shared" si="279"/>
        <v>FOR</v>
      </c>
      <c r="O2143" t="s">
        <v>69</v>
      </c>
      <c r="P2143" t="s">
        <v>75</v>
      </c>
      <c r="Q2143">
        <v>2016</v>
      </c>
      <c r="R2143" s="4">
        <v>42482</v>
      </c>
      <c r="S2143" s="2">
        <v>42486</v>
      </c>
      <c r="T2143" s="2">
        <v>42486</v>
      </c>
      <c r="U2143" s="4">
        <v>42546</v>
      </c>
      <c r="V2143" t="s">
        <v>71</v>
      </c>
      <c r="W2143" t="str">
        <f>"            11347/V2"</f>
        <v xml:space="preserve">            11347/V2</v>
      </c>
      <c r="X2143">
        <v>756.4</v>
      </c>
      <c r="Y2143">
        <v>0</v>
      </c>
      <c r="Z2143" s="5">
        <v>620</v>
      </c>
      <c r="AA2143" s="3">
        <v>221</v>
      </c>
      <c r="AB2143" s="5">
        <v>137020</v>
      </c>
      <c r="AC2143">
        <v>620</v>
      </c>
      <c r="AD2143">
        <v>221</v>
      </c>
      <c r="AE2143" s="1">
        <v>137020</v>
      </c>
      <c r="AF2143">
        <v>0</v>
      </c>
      <c r="AJ2143">
        <v>0</v>
      </c>
      <c r="AK2143">
        <v>0</v>
      </c>
      <c r="AL2143">
        <v>0</v>
      </c>
      <c r="AM2143">
        <v>0</v>
      </c>
      <c r="AN2143">
        <v>0</v>
      </c>
      <c r="AO2143">
        <v>0</v>
      </c>
      <c r="AP2143" s="2">
        <v>42831</v>
      </c>
      <c r="AQ2143" t="s">
        <v>72</v>
      </c>
      <c r="AR2143" t="s">
        <v>72</v>
      </c>
      <c r="AS2143">
        <v>192</v>
      </c>
      <c r="AT2143" s="4">
        <v>42767</v>
      </c>
      <c r="AU2143" t="s">
        <v>73</v>
      </c>
      <c r="AV2143">
        <v>192</v>
      </c>
      <c r="AW2143" s="4">
        <v>42767</v>
      </c>
      <c r="BD2143">
        <v>0</v>
      </c>
      <c r="BN2143" t="s">
        <v>74</v>
      </c>
    </row>
    <row r="2144" spans="1:66">
      <c r="A2144">
        <v>106251</v>
      </c>
      <c r="B2144" t="s">
        <v>443</v>
      </c>
      <c r="C2144" s="1">
        <v>43300101</v>
      </c>
      <c r="D2144" t="s">
        <v>67</v>
      </c>
      <c r="H2144" t="str">
        <f t="shared" si="280"/>
        <v>04742650585</v>
      </c>
      <c r="I2144" t="str">
        <f t="shared" si="281"/>
        <v>01296201005</v>
      </c>
      <c r="K2144" t="str">
        <f>""</f>
        <v/>
      </c>
      <c r="M2144" t="s">
        <v>68</v>
      </c>
      <c r="N2144" t="str">
        <f t="shared" si="279"/>
        <v>FOR</v>
      </c>
      <c r="O2144" t="s">
        <v>69</v>
      </c>
      <c r="P2144" t="s">
        <v>75</v>
      </c>
      <c r="Q2144">
        <v>2016</v>
      </c>
      <c r="R2144" s="4">
        <v>42489</v>
      </c>
      <c r="S2144" s="2">
        <v>42494</v>
      </c>
      <c r="T2144" s="2">
        <v>42493</v>
      </c>
      <c r="U2144" s="4">
        <v>42553</v>
      </c>
      <c r="V2144" t="s">
        <v>71</v>
      </c>
      <c r="W2144" t="str">
        <f>"            11493/V2"</f>
        <v xml:space="preserve">            11493/V2</v>
      </c>
      <c r="X2144">
        <v>390.4</v>
      </c>
      <c r="Y2144">
        <v>0</v>
      </c>
      <c r="Z2144" s="5">
        <v>320</v>
      </c>
      <c r="AA2144" s="3">
        <v>214</v>
      </c>
      <c r="AB2144" s="5">
        <v>68480</v>
      </c>
      <c r="AC2144">
        <v>320</v>
      </c>
      <c r="AD2144">
        <v>214</v>
      </c>
      <c r="AE2144" s="1">
        <v>68480</v>
      </c>
      <c r="AF2144">
        <v>0</v>
      </c>
      <c r="AJ2144">
        <v>0</v>
      </c>
      <c r="AK2144">
        <v>0</v>
      </c>
      <c r="AL2144">
        <v>0</v>
      </c>
      <c r="AM2144">
        <v>0</v>
      </c>
      <c r="AN2144">
        <v>0</v>
      </c>
      <c r="AO2144">
        <v>0</v>
      </c>
      <c r="AP2144" s="2">
        <v>42831</v>
      </c>
      <c r="AQ2144" t="s">
        <v>72</v>
      </c>
      <c r="AR2144" t="s">
        <v>72</v>
      </c>
      <c r="AS2144">
        <v>192</v>
      </c>
      <c r="AT2144" s="4">
        <v>42767</v>
      </c>
      <c r="AU2144" t="s">
        <v>73</v>
      </c>
      <c r="AV2144">
        <v>192</v>
      </c>
      <c r="AW2144" s="4">
        <v>42767</v>
      </c>
      <c r="BD2144">
        <v>0</v>
      </c>
      <c r="BN2144" t="s">
        <v>74</v>
      </c>
    </row>
    <row r="2145" spans="1:66">
      <c r="A2145">
        <v>106251</v>
      </c>
      <c r="B2145" t="s">
        <v>443</v>
      </c>
      <c r="C2145" s="1">
        <v>43300101</v>
      </c>
      <c r="D2145" t="s">
        <v>67</v>
      </c>
      <c r="H2145" t="str">
        <f t="shared" si="280"/>
        <v>04742650585</v>
      </c>
      <c r="I2145" t="str">
        <f t="shared" si="281"/>
        <v>01296201005</v>
      </c>
      <c r="K2145" t="str">
        <f>""</f>
        <v/>
      </c>
      <c r="M2145" t="s">
        <v>68</v>
      </c>
      <c r="N2145" t="str">
        <f t="shared" si="279"/>
        <v>FOR</v>
      </c>
      <c r="O2145" t="s">
        <v>69</v>
      </c>
      <c r="P2145" t="s">
        <v>75</v>
      </c>
      <c r="Q2145">
        <v>2016</v>
      </c>
      <c r="R2145" s="4">
        <v>42489</v>
      </c>
      <c r="S2145" s="2">
        <v>42494</v>
      </c>
      <c r="T2145" s="2">
        <v>42493</v>
      </c>
      <c r="U2145" s="4">
        <v>42553</v>
      </c>
      <c r="V2145" t="s">
        <v>71</v>
      </c>
      <c r="W2145" t="str">
        <f>"            11494/V2"</f>
        <v xml:space="preserve">            11494/V2</v>
      </c>
      <c r="X2145">
        <v>390.4</v>
      </c>
      <c r="Y2145">
        <v>0</v>
      </c>
      <c r="Z2145" s="5">
        <v>320</v>
      </c>
      <c r="AA2145" s="3">
        <v>214</v>
      </c>
      <c r="AB2145" s="5">
        <v>68480</v>
      </c>
      <c r="AC2145">
        <v>320</v>
      </c>
      <c r="AD2145">
        <v>214</v>
      </c>
      <c r="AE2145" s="1">
        <v>68480</v>
      </c>
      <c r="AF2145">
        <v>0</v>
      </c>
      <c r="AJ2145">
        <v>0</v>
      </c>
      <c r="AK2145">
        <v>0</v>
      </c>
      <c r="AL2145">
        <v>0</v>
      </c>
      <c r="AM2145">
        <v>0</v>
      </c>
      <c r="AN2145">
        <v>0</v>
      </c>
      <c r="AO2145">
        <v>0</v>
      </c>
      <c r="AP2145" s="2">
        <v>42831</v>
      </c>
      <c r="AQ2145" t="s">
        <v>72</v>
      </c>
      <c r="AR2145" t="s">
        <v>72</v>
      </c>
      <c r="AS2145">
        <v>192</v>
      </c>
      <c r="AT2145" s="4">
        <v>42767</v>
      </c>
      <c r="AU2145" t="s">
        <v>73</v>
      </c>
      <c r="AV2145">
        <v>192</v>
      </c>
      <c r="AW2145" s="4">
        <v>42767</v>
      </c>
      <c r="BD2145">
        <v>0</v>
      </c>
      <c r="BN2145" t="s">
        <v>74</v>
      </c>
    </row>
    <row r="2146" spans="1:66">
      <c r="A2146">
        <v>106251</v>
      </c>
      <c r="B2146" t="s">
        <v>443</v>
      </c>
      <c r="C2146" s="1">
        <v>43300101</v>
      </c>
      <c r="D2146" t="s">
        <v>67</v>
      </c>
      <c r="H2146" t="str">
        <f t="shared" si="280"/>
        <v>04742650585</v>
      </c>
      <c r="I2146" t="str">
        <f t="shared" si="281"/>
        <v>01296201005</v>
      </c>
      <c r="K2146" t="str">
        <f>""</f>
        <v/>
      </c>
      <c r="M2146" t="s">
        <v>68</v>
      </c>
      <c r="N2146" t="str">
        <f t="shared" si="279"/>
        <v>FOR</v>
      </c>
      <c r="O2146" t="s">
        <v>69</v>
      </c>
      <c r="P2146" t="s">
        <v>75</v>
      </c>
      <c r="Q2146">
        <v>2016</v>
      </c>
      <c r="R2146" s="4">
        <v>42499</v>
      </c>
      <c r="S2146" s="2">
        <v>42506</v>
      </c>
      <c r="T2146" s="2">
        <v>42502</v>
      </c>
      <c r="U2146" s="4">
        <v>42562</v>
      </c>
      <c r="V2146" t="s">
        <v>71</v>
      </c>
      <c r="W2146" t="str">
        <f>"            11613/V2"</f>
        <v xml:space="preserve">            11613/V2</v>
      </c>
      <c r="X2146">
        <v>390.4</v>
      </c>
      <c r="Y2146">
        <v>0</v>
      </c>
      <c r="Z2146" s="5">
        <v>320</v>
      </c>
      <c r="AA2146" s="3">
        <v>233</v>
      </c>
      <c r="AB2146" s="5">
        <v>74560</v>
      </c>
      <c r="AC2146">
        <v>320</v>
      </c>
      <c r="AD2146">
        <v>233</v>
      </c>
      <c r="AE2146" s="1">
        <v>74560</v>
      </c>
      <c r="AF2146">
        <v>70.400000000000006</v>
      </c>
      <c r="AJ2146">
        <v>0</v>
      </c>
      <c r="AK2146">
        <v>0</v>
      </c>
      <c r="AL2146">
        <v>0</v>
      </c>
      <c r="AM2146">
        <v>0</v>
      </c>
      <c r="AN2146">
        <v>0</v>
      </c>
      <c r="AO2146">
        <v>0</v>
      </c>
      <c r="AP2146" s="2">
        <v>42831</v>
      </c>
      <c r="AQ2146" t="s">
        <v>72</v>
      </c>
      <c r="AR2146" t="s">
        <v>72</v>
      </c>
      <c r="AS2146">
        <v>627</v>
      </c>
      <c r="AT2146" s="4">
        <v>42795</v>
      </c>
      <c r="AU2146" t="s">
        <v>73</v>
      </c>
      <c r="AV2146">
        <v>627</v>
      </c>
      <c r="AW2146" s="4">
        <v>42795</v>
      </c>
      <c r="BD2146">
        <v>70.400000000000006</v>
      </c>
      <c r="BN2146" t="s">
        <v>74</v>
      </c>
    </row>
    <row r="2147" spans="1:66">
      <c r="A2147">
        <v>106251</v>
      </c>
      <c r="B2147" t="s">
        <v>443</v>
      </c>
      <c r="C2147" s="1">
        <v>43300101</v>
      </c>
      <c r="D2147" t="s">
        <v>67</v>
      </c>
      <c r="H2147" t="str">
        <f t="shared" si="280"/>
        <v>04742650585</v>
      </c>
      <c r="I2147" t="str">
        <f t="shared" si="281"/>
        <v>01296201005</v>
      </c>
      <c r="K2147" t="str">
        <f>""</f>
        <v/>
      </c>
      <c r="M2147" t="s">
        <v>68</v>
      </c>
      <c r="N2147" t="str">
        <f t="shared" si="279"/>
        <v>FOR</v>
      </c>
      <c r="O2147" t="s">
        <v>69</v>
      </c>
      <c r="P2147" t="s">
        <v>75</v>
      </c>
      <c r="Q2147">
        <v>2016</v>
      </c>
      <c r="R2147" s="4">
        <v>42510</v>
      </c>
      <c r="S2147" s="2">
        <v>42515</v>
      </c>
      <c r="T2147" s="2">
        <v>42513</v>
      </c>
      <c r="U2147" s="4">
        <v>42573</v>
      </c>
      <c r="V2147" t="s">
        <v>71</v>
      </c>
      <c r="W2147" t="str">
        <f>"            11804/V2"</f>
        <v xml:space="preserve">            11804/V2</v>
      </c>
      <c r="X2147">
        <v>390.4</v>
      </c>
      <c r="Y2147">
        <v>0</v>
      </c>
      <c r="Z2147" s="5">
        <v>320</v>
      </c>
      <c r="AA2147" s="3">
        <v>222</v>
      </c>
      <c r="AB2147" s="5">
        <v>71040</v>
      </c>
      <c r="AC2147">
        <v>320</v>
      </c>
      <c r="AD2147">
        <v>222</v>
      </c>
      <c r="AE2147" s="1">
        <v>71040</v>
      </c>
      <c r="AF2147">
        <v>70.400000000000006</v>
      </c>
      <c r="AJ2147">
        <v>0</v>
      </c>
      <c r="AK2147">
        <v>0</v>
      </c>
      <c r="AL2147">
        <v>0</v>
      </c>
      <c r="AM2147">
        <v>0</v>
      </c>
      <c r="AN2147">
        <v>0</v>
      </c>
      <c r="AO2147">
        <v>0</v>
      </c>
      <c r="AP2147" s="2">
        <v>42831</v>
      </c>
      <c r="AQ2147" t="s">
        <v>72</v>
      </c>
      <c r="AR2147" t="s">
        <v>72</v>
      </c>
      <c r="AS2147">
        <v>627</v>
      </c>
      <c r="AT2147" s="4">
        <v>42795</v>
      </c>
      <c r="AU2147" t="s">
        <v>73</v>
      </c>
      <c r="AV2147">
        <v>627</v>
      </c>
      <c r="AW2147" s="4">
        <v>42795</v>
      </c>
      <c r="BD2147">
        <v>70.400000000000006</v>
      </c>
      <c r="BN2147" t="s">
        <v>74</v>
      </c>
    </row>
    <row r="2148" spans="1:66">
      <c r="A2148">
        <v>106251</v>
      </c>
      <c r="B2148" t="s">
        <v>443</v>
      </c>
      <c r="C2148" s="1">
        <v>43300101</v>
      </c>
      <c r="D2148" t="s">
        <v>67</v>
      </c>
      <c r="H2148" t="str">
        <f t="shared" si="280"/>
        <v>04742650585</v>
      </c>
      <c r="I2148" t="str">
        <f t="shared" si="281"/>
        <v>01296201005</v>
      </c>
      <c r="K2148" t="str">
        <f>""</f>
        <v/>
      </c>
      <c r="M2148" t="s">
        <v>68</v>
      </c>
      <c r="N2148" t="str">
        <f t="shared" si="279"/>
        <v>FOR</v>
      </c>
      <c r="O2148" t="s">
        <v>69</v>
      </c>
      <c r="P2148" t="s">
        <v>75</v>
      </c>
      <c r="Q2148">
        <v>2016</v>
      </c>
      <c r="R2148" s="4">
        <v>42510</v>
      </c>
      <c r="S2148" s="2">
        <v>42515</v>
      </c>
      <c r="T2148" s="2">
        <v>42513</v>
      </c>
      <c r="U2148" s="4">
        <v>42573</v>
      </c>
      <c r="V2148" t="s">
        <v>71</v>
      </c>
      <c r="W2148" t="str">
        <f>"            11805/V2"</f>
        <v xml:space="preserve">            11805/V2</v>
      </c>
      <c r="X2148">
        <v>117.12</v>
      </c>
      <c r="Y2148">
        <v>0</v>
      </c>
      <c r="Z2148" s="5">
        <v>96</v>
      </c>
      <c r="AA2148" s="3">
        <v>222</v>
      </c>
      <c r="AB2148" s="5">
        <v>21312</v>
      </c>
      <c r="AC2148">
        <v>96</v>
      </c>
      <c r="AD2148">
        <v>222</v>
      </c>
      <c r="AE2148" s="1">
        <v>21312</v>
      </c>
      <c r="AF2148">
        <v>21.12</v>
      </c>
      <c r="AJ2148">
        <v>0</v>
      </c>
      <c r="AK2148">
        <v>0</v>
      </c>
      <c r="AL2148">
        <v>0</v>
      </c>
      <c r="AM2148">
        <v>0</v>
      </c>
      <c r="AN2148">
        <v>0</v>
      </c>
      <c r="AO2148">
        <v>0</v>
      </c>
      <c r="AP2148" s="2">
        <v>42831</v>
      </c>
      <c r="AQ2148" t="s">
        <v>72</v>
      </c>
      <c r="AR2148" t="s">
        <v>72</v>
      </c>
      <c r="AS2148">
        <v>627</v>
      </c>
      <c r="AT2148" s="4">
        <v>42795</v>
      </c>
      <c r="AU2148" t="s">
        <v>73</v>
      </c>
      <c r="AV2148">
        <v>627</v>
      </c>
      <c r="AW2148" s="4">
        <v>42795</v>
      </c>
      <c r="BD2148">
        <v>21.12</v>
      </c>
      <c r="BN2148" t="s">
        <v>74</v>
      </c>
    </row>
    <row r="2149" spans="1:66">
      <c r="A2149">
        <v>106251</v>
      </c>
      <c r="B2149" t="s">
        <v>443</v>
      </c>
      <c r="C2149" s="1">
        <v>43300101</v>
      </c>
      <c r="D2149" t="s">
        <v>67</v>
      </c>
      <c r="H2149" t="str">
        <f t="shared" si="280"/>
        <v>04742650585</v>
      </c>
      <c r="I2149" t="str">
        <f t="shared" si="281"/>
        <v>01296201005</v>
      </c>
      <c r="K2149" t="str">
        <f>""</f>
        <v/>
      </c>
      <c r="M2149" t="s">
        <v>68</v>
      </c>
      <c r="N2149" t="str">
        <f t="shared" si="279"/>
        <v>FOR</v>
      </c>
      <c r="O2149" t="s">
        <v>69</v>
      </c>
      <c r="P2149" t="s">
        <v>75</v>
      </c>
      <c r="Q2149">
        <v>2016</v>
      </c>
      <c r="R2149" s="4">
        <v>42517</v>
      </c>
      <c r="S2149" s="2">
        <v>42530</v>
      </c>
      <c r="T2149" s="2">
        <v>42528</v>
      </c>
      <c r="U2149" s="4">
        <v>42588</v>
      </c>
      <c r="V2149" t="s">
        <v>71</v>
      </c>
      <c r="W2149" t="str">
        <f>"            11890/V2"</f>
        <v xml:space="preserve">            11890/V2</v>
      </c>
      <c r="X2149" s="1">
        <v>1756.8</v>
      </c>
      <c r="Y2149">
        <v>0</v>
      </c>
      <c r="Z2149" s="5">
        <v>1440</v>
      </c>
      <c r="AA2149" s="3">
        <v>207</v>
      </c>
      <c r="AB2149" s="5">
        <v>298080</v>
      </c>
      <c r="AC2149" s="1">
        <v>1440</v>
      </c>
      <c r="AD2149">
        <v>207</v>
      </c>
      <c r="AE2149" s="1">
        <v>298080</v>
      </c>
      <c r="AF2149">
        <v>316.8</v>
      </c>
      <c r="AJ2149">
        <v>0</v>
      </c>
      <c r="AK2149">
        <v>0</v>
      </c>
      <c r="AL2149">
        <v>0</v>
      </c>
      <c r="AM2149">
        <v>0</v>
      </c>
      <c r="AN2149">
        <v>0</v>
      </c>
      <c r="AO2149">
        <v>0</v>
      </c>
      <c r="AP2149" s="2">
        <v>42831</v>
      </c>
      <c r="AQ2149" t="s">
        <v>72</v>
      </c>
      <c r="AR2149" t="s">
        <v>72</v>
      </c>
      <c r="AS2149">
        <v>627</v>
      </c>
      <c r="AT2149" s="4">
        <v>42795</v>
      </c>
      <c r="AU2149" t="s">
        <v>73</v>
      </c>
      <c r="AV2149">
        <v>627</v>
      </c>
      <c r="AW2149" s="4">
        <v>42795</v>
      </c>
      <c r="BD2149">
        <v>316.8</v>
      </c>
      <c r="BN2149" t="s">
        <v>74</v>
      </c>
    </row>
    <row r="2150" spans="1:66">
      <c r="A2150">
        <v>106251</v>
      </c>
      <c r="B2150" t="s">
        <v>443</v>
      </c>
      <c r="C2150" s="1">
        <v>43300101</v>
      </c>
      <c r="D2150" t="s">
        <v>67</v>
      </c>
      <c r="H2150" t="str">
        <f t="shared" si="280"/>
        <v>04742650585</v>
      </c>
      <c r="I2150" t="str">
        <f t="shared" si="281"/>
        <v>01296201005</v>
      </c>
      <c r="K2150" t="str">
        <f>""</f>
        <v/>
      </c>
      <c r="M2150" t="s">
        <v>68</v>
      </c>
      <c r="N2150" t="str">
        <f t="shared" si="279"/>
        <v>FOR</v>
      </c>
      <c r="O2150" t="s">
        <v>69</v>
      </c>
      <c r="P2150" t="s">
        <v>75</v>
      </c>
      <c r="Q2150">
        <v>2016</v>
      </c>
      <c r="R2150" s="4">
        <v>42541</v>
      </c>
      <c r="S2150" s="2">
        <v>42543</v>
      </c>
      <c r="T2150" s="2">
        <v>42542</v>
      </c>
      <c r="U2150" s="4">
        <v>42602</v>
      </c>
      <c r="V2150" t="s">
        <v>71</v>
      </c>
      <c r="W2150" t="str">
        <f>"            12179/V2"</f>
        <v xml:space="preserve">            12179/V2</v>
      </c>
      <c r="X2150">
        <v>585.6</v>
      </c>
      <c r="Y2150">
        <v>0</v>
      </c>
      <c r="Z2150" s="5">
        <v>480</v>
      </c>
      <c r="AA2150" s="3">
        <v>193</v>
      </c>
      <c r="AB2150" s="5">
        <v>92640</v>
      </c>
      <c r="AC2150">
        <v>480</v>
      </c>
      <c r="AD2150">
        <v>193</v>
      </c>
      <c r="AE2150" s="1">
        <v>92640</v>
      </c>
      <c r="AF2150">
        <v>105.6</v>
      </c>
      <c r="AJ2150">
        <v>0</v>
      </c>
      <c r="AK2150">
        <v>0</v>
      </c>
      <c r="AL2150">
        <v>0</v>
      </c>
      <c r="AM2150">
        <v>0</v>
      </c>
      <c r="AN2150">
        <v>0</v>
      </c>
      <c r="AO2150">
        <v>0</v>
      </c>
      <c r="AP2150" s="2">
        <v>42831</v>
      </c>
      <c r="AQ2150" t="s">
        <v>72</v>
      </c>
      <c r="AR2150" t="s">
        <v>72</v>
      </c>
      <c r="AS2150">
        <v>627</v>
      </c>
      <c r="AT2150" s="4">
        <v>42795</v>
      </c>
      <c r="AU2150" t="s">
        <v>73</v>
      </c>
      <c r="AV2150">
        <v>627</v>
      </c>
      <c r="AW2150" s="4">
        <v>42795</v>
      </c>
      <c r="BD2150">
        <v>105.6</v>
      </c>
      <c r="BN2150" t="s">
        <v>74</v>
      </c>
    </row>
    <row r="2151" spans="1:66">
      <c r="A2151">
        <v>106251</v>
      </c>
      <c r="B2151" t="s">
        <v>443</v>
      </c>
      <c r="C2151" s="1">
        <v>43300101</v>
      </c>
      <c r="D2151" t="s">
        <v>67</v>
      </c>
      <c r="H2151" t="str">
        <f t="shared" si="280"/>
        <v>04742650585</v>
      </c>
      <c r="I2151" t="str">
        <f t="shared" si="281"/>
        <v>01296201005</v>
      </c>
      <c r="K2151" t="str">
        <f>""</f>
        <v/>
      </c>
      <c r="M2151" t="s">
        <v>68</v>
      </c>
      <c r="N2151" t="str">
        <f t="shared" si="279"/>
        <v>FOR</v>
      </c>
      <c r="O2151" t="s">
        <v>69</v>
      </c>
      <c r="P2151" t="s">
        <v>75</v>
      </c>
      <c r="Q2151">
        <v>2016</v>
      </c>
      <c r="R2151" s="4">
        <v>42564</v>
      </c>
      <c r="S2151" s="2">
        <v>42571</v>
      </c>
      <c r="T2151" s="2">
        <v>42568</v>
      </c>
      <c r="U2151" s="4">
        <v>42628</v>
      </c>
      <c r="V2151" t="s">
        <v>71</v>
      </c>
      <c r="W2151" t="str">
        <f>"            12569/V2"</f>
        <v xml:space="preserve">            12569/V2</v>
      </c>
      <c r="X2151" s="1">
        <v>1671.4</v>
      </c>
      <c r="Y2151">
        <v>0</v>
      </c>
      <c r="Z2151" s="5">
        <v>1370</v>
      </c>
      <c r="AA2151" s="3">
        <v>169</v>
      </c>
      <c r="AB2151" s="5">
        <v>231530</v>
      </c>
      <c r="AC2151" s="1">
        <v>1370</v>
      </c>
      <c r="AD2151">
        <v>169</v>
      </c>
      <c r="AE2151" s="1">
        <v>231530</v>
      </c>
      <c r="AF2151">
        <v>301.39999999999998</v>
      </c>
      <c r="AJ2151">
        <v>0</v>
      </c>
      <c r="AK2151">
        <v>0</v>
      </c>
      <c r="AL2151">
        <v>0</v>
      </c>
      <c r="AM2151">
        <v>0</v>
      </c>
      <c r="AN2151">
        <v>0</v>
      </c>
      <c r="AO2151">
        <v>0</v>
      </c>
      <c r="AP2151" s="2">
        <v>42831</v>
      </c>
      <c r="AQ2151" t="s">
        <v>72</v>
      </c>
      <c r="AR2151" t="s">
        <v>72</v>
      </c>
      <c r="AS2151">
        <v>711</v>
      </c>
      <c r="AT2151" s="4">
        <v>42797</v>
      </c>
      <c r="AU2151" t="s">
        <v>73</v>
      </c>
      <c r="AV2151">
        <v>711</v>
      </c>
      <c r="AW2151" s="4">
        <v>42797</v>
      </c>
      <c r="BD2151">
        <v>301.39999999999998</v>
      </c>
      <c r="BN2151" t="s">
        <v>74</v>
      </c>
    </row>
    <row r="2152" spans="1:66">
      <c r="A2152">
        <v>106251</v>
      </c>
      <c r="B2152" t="s">
        <v>443</v>
      </c>
      <c r="C2152" s="1">
        <v>43300101</v>
      </c>
      <c r="D2152" t="s">
        <v>67</v>
      </c>
      <c r="H2152" t="str">
        <f t="shared" si="280"/>
        <v>04742650585</v>
      </c>
      <c r="I2152" t="str">
        <f t="shared" si="281"/>
        <v>01296201005</v>
      </c>
      <c r="K2152" t="str">
        <f>""</f>
        <v/>
      </c>
      <c r="M2152" t="s">
        <v>68</v>
      </c>
      <c r="N2152" t="str">
        <f t="shared" si="279"/>
        <v>FOR</v>
      </c>
      <c r="O2152" t="s">
        <v>69</v>
      </c>
      <c r="P2152" t="s">
        <v>75</v>
      </c>
      <c r="Q2152">
        <v>2016</v>
      </c>
      <c r="R2152" s="4">
        <v>42622</v>
      </c>
      <c r="S2152" s="2">
        <v>42628</v>
      </c>
      <c r="T2152" s="2">
        <v>42625</v>
      </c>
      <c r="U2152" s="4">
        <v>42685</v>
      </c>
      <c r="V2152" t="s">
        <v>71</v>
      </c>
      <c r="W2152" t="str">
        <f>"            13225/V2"</f>
        <v xml:space="preserve">            13225/V2</v>
      </c>
      <c r="X2152">
        <v>819.84</v>
      </c>
      <c r="Y2152">
        <v>0</v>
      </c>
      <c r="Z2152" s="5">
        <v>672</v>
      </c>
      <c r="AA2152" s="3">
        <v>112</v>
      </c>
      <c r="AB2152" s="5">
        <v>75264</v>
      </c>
      <c r="AC2152">
        <v>672</v>
      </c>
      <c r="AD2152">
        <v>112</v>
      </c>
      <c r="AE2152" s="1">
        <v>75264</v>
      </c>
      <c r="AF2152">
        <v>147.84</v>
      </c>
      <c r="AJ2152">
        <v>0</v>
      </c>
      <c r="AK2152">
        <v>0</v>
      </c>
      <c r="AL2152">
        <v>0</v>
      </c>
      <c r="AM2152">
        <v>0</v>
      </c>
      <c r="AN2152">
        <v>0</v>
      </c>
      <c r="AO2152">
        <v>0</v>
      </c>
      <c r="AP2152" s="2">
        <v>42831</v>
      </c>
      <c r="AQ2152" t="s">
        <v>72</v>
      </c>
      <c r="AR2152" t="s">
        <v>72</v>
      </c>
      <c r="AS2152">
        <v>711</v>
      </c>
      <c r="AT2152" s="4">
        <v>42797</v>
      </c>
      <c r="AU2152" t="s">
        <v>73</v>
      </c>
      <c r="AV2152">
        <v>711</v>
      </c>
      <c r="AW2152" s="4">
        <v>42797</v>
      </c>
      <c r="BB2152">
        <v>147.84</v>
      </c>
      <c r="BD2152">
        <v>0</v>
      </c>
      <c r="BN2152" t="s">
        <v>74</v>
      </c>
    </row>
    <row r="2153" spans="1:66">
      <c r="A2153">
        <v>106251</v>
      </c>
      <c r="B2153" t="s">
        <v>443</v>
      </c>
      <c r="C2153" s="1">
        <v>43300101</v>
      </c>
      <c r="D2153" t="s">
        <v>67</v>
      </c>
      <c r="H2153" t="str">
        <f t="shared" si="280"/>
        <v>04742650585</v>
      </c>
      <c r="I2153" t="str">
        <f t="shared" si="281"/>
        <v>01296201005</v>
      </c>
      <c r="K2153" t="str">
        <f>""</f>
        <v/>
      </c>
      <c r="M2153" t="s">
        <v>68</v>
      </c>
      <c r="N2153" t="str">
        <f t="shared" si="279"/>
        <v>FOR</v>
      </c>
      <c r="O2153" t="s">
        <v>69</v>
      </c>
      <c r="P2153" t="s">
        <v>75</v>
      </c>
      <c r="Q2153">
        <v>2016</v>
      </c>
      <c r="R2153" s="4">
        <v>42643</v>
      </c>
      <c r="S2153" s="2">
        <v>42654</v>
      </c>
      <c r="T2153" s="2">
        <v>42650</v>
      </c>
      <c r="U2153" s="4">
        <v>42710</v>
      </c>
      <c r="V2153" t="s">
        <v>71</v>
      </c>
      <c r="W2153" t="str">
        <f>"            13592/V2"</f>
        <v xml:space="preserve">            13592/V2</v>
      </c>
      <c r="X2153">
        <v>878.4</v>
      </c>
      <c r="Y2153">
        <v>0</v>
      </c>
      <c r="Z2153" s="5">
        <v>720</v>
      </c>
      <c r="AA2153" s="3">
        <v>87</v>
      </c>
      <c r="AB2153" s="5">
        <v>62640</v>
      </c>
      <c r="AC2153">
        <v>720</v>
      </c>
      <c r="AD2153">
        <v>87</v>
      </c>
      <c r="AE2153" s="1">
        <v>62640</v>
      </c>
      <c r="AF2153">
        <v>158.4</v>
      </c>
      <c r="AJ2153">
        <v>0</v>
      </c>
      <c r="AK2153">
        <v>0</v>
      </c>
      <c r="AL2153">
        <v>0</v>
      </c>
      <c r="AM2153">
        <v>0</v>
      </c>
      <c r="AN2153">
        <v>0</v>
      </c>
      <c r="AO2153">
        <v>0</v>
      </c>
      <c r="AP2153" s="2">
        <v>42831</v>
      </c>
      <c r="AQ2153" t="s">
        <v>72</v>
      </c>
      <c r="AR2153" t="s">
        <v>72</v>
      </c>
      <c r="AS2153">
        <v>711</v>
      </c>
      <c r="AT2153" s="4">
        <v>42797</v>
      </c>
      <c r="AU2153" t="s">
        <v>73</v>
      </c>
      <c r="AV2153">
        <v>711</v>
      </c>
      <c r="AW2153" s="4">
        <v>42797</v>
      </c>
      <c r="BA2153">
        <v>158.4</v>
      </c>
      <c r="BD2153">
        <v>0</v>
      </c>
      <c r="BN2153" t="s">
        <v>74</v>
      </c>
    </row>
    <row r="2154" spans="1:66">
      <c r="A2154">
        <v>106251</v>
      </c>
      <c r="B2154" t="s">
        <v>443</v>
      </c>
      <c r="C2154" s="1">
        <v>43300101</v>
      </c>
      <c r="D2154" t="s">
        <v>67</v>
      </c>
      <c r="H2154" t="str">
        <f t="shared" si="280"/>
        <v>04742650585</v>
      </c>
      <c r="I2154" t="str">
        <f t="shared" si="281"/>
        <v>01296201005</v>
      </c>
      <c r="K2154" t="str">
        <f>""</f>
        <v/>
      </c>
      <c r="M2154" t="s">
        <v>68</v>
      </c>
      <c r="N2154" t="str">
        <f t="shared" si="279"/>
        <v>FOR</v>
      </c>
      <c r="O2154" t="s">
        <v>69</v>
      </c>
      <c r="P2154" t="s">
        <v>75</v>
      </c>
      <c r="Q2154">
        <v>2016</v>
      </c>
      <c r="R2154" s="4">
        <v>42653</v>
      </c>
      <c r="S2154" s="2">
        <v>42654</v>
      </c>
      <c r="T2154" s="2">
        <v>42653</v>
      </c>
      <c r="U2154" s="4">
        <v>42713</v>
      </c>
      <c r="V2154" t="s">
        <v>71</v>
      </c>
      <c r="W2154" t="str">
        <f>"            13731/V2"</f>
        <v xml:space="preserve">            13731/V2</v>
      </c>
      <c r="X2154" s="1">
        <v>1288.32</v>
      </c>
      <c r="Y2154">
        <v>0</v>
      </c>
      <c r="Z2154" s="5">
        <v>1056</v>
      </c>
      <c r="AA2154" s="3">
        <v>84</v>
      </c>
      <c r="AB2154" s="5">
        <v>88704</v>
      </c>
      <c r="AC2154" s="1">
        <v>1056</v>
      </c>
      <c r="AD2154">
        <v>84</v>
      </c>
      <c r="AE2154" s="1">
        <v>88704</v>
      </c>
      <c r="AF2154">
        <v>232.32</v>
      </c>
      <c r="AJ2154">
        <v>0</v>
      </c>
      <c r="AK2154">
        <v>0</v>
      </c>
      <c r="AL2154">
        <v>0</v>
      </c>
      <c r="AM2154">
        <v>0</v>
      </c>
      <c r="AN2154">
        <v>0</v>
      </c>
      <c r="AO2154">
        <v>0</v>
      </c>
      <c r="AP2154" s="2">
        <v>42831</v>
      </c>
      <c r="AQ2154" t="s">
        <v>72</v>
      </c>
      <c r="AR2154" t="s">
        <v>72</v>
      </c>
      <c r="AS2154">
        <v>711</v>
      </c>
      <c r="AT2154" s="4">
        <v>42797</v>
      </c>
      <c r="AU2154" t="s">
        <v>73</v>
      </c>
      <c r="AV2154">
        <v>711</v>
      </c>
      <c r="AW2154" s="4">
        <v>42797</v>
      </c>
      <c r="BA2154">
        <v>232.32</v>
      </c>
      <c r="BD2154">
        <v>0</v>
      </c>
      <c r="BN2154" t="s">
        <v>74</v>
      </c>
    </row>
    <row r="2155" spans="1:66">
      <c r="A2155">
        <v>106251</v>
      </c>
      <c r="B2155" t="s">
        <v>443</v>
      </c>
      <c r="C2155" s="1">
        <v>43300101</v>
      </c>
      <c r="D2155" t="s">
        <v>67</v>
      </c>
      <c r="H2155" t="str">
        <f t="shared" si="280"/>
        <v>04742650585</v>
      </c>
      <c r="I2155" t="str">
        <f t="shared" si="281"/>
        <v>01296201005</v>
      </c>
      <c r="K2155" t="str">
        <f>""</f>
        <v/>
      </c>
      <c r="M2155" t="s">
        <v>68</v>
      </c>
      <c r="N2155" t="str">
        <f t="shared" si="279"/>
        <v>FOR</v>
      </c>
      <c r="O2155" t="s">
        <v>69</v>
      </c>
      <c r="P2155" t="s">
        <v>75</v>
      </c>
      <c r="Q2155">
        <v>2016</v>
      </c>
      <c r="R2155" s="4">
        <v>42681</v>
      </c>
      <c r="S2155" s="2">
        <v>42682</v>
      </c>
      <c r="T2155" s="2">
        <v>42681</v>
      </c>
      <c r="U2155" s="4">
        <v>42741</v>
      </c>
      <c r="V2155" t="s">
        <v>71</v>
      </c>
      <c r="W2155" t="str">
        <f>"            14137/V2"</f>
        <v xml:space="preserve">            14137/V2</v>
      </c>
      <c r="X2155" s="1">
        <v>1112.6400000000001</v>
      </c>
      <c r="Y2155">
        <v>0</v>
      </c>
      <c r="Z2155" s="5">
        <v>912</v>
      </c>
      <c r="AA2155" s="3">
        <v>56</v>
      </c>
      <c r="AB2155" s="5">
        <v>51072</v>
      </c>
      <c r="AC2155">
        <v>912</v>
      </c>
      <c r="AD2155">
        <v>56</v>
      </c>
      <c r="AE2155" s="1">
        <v>51072</v>
      </c>
      <c r="AF2155">
        <v>200.64</v>
      </c>
      <c r="AJ2155">
        <v>0</v>
      </c>
      <c r="AK2155">
        <v>0</v>
      </c>
      <c r="AL2155">
        <v>0</v>
      </c>
      <c r="AM2155">
        <v>0</v>
      </c>
      <c r="AN2155">
        <v>0</v>
      </c>
      <c r="AO2155">
        <v>0</v>
      </c>
      <c r="AP2155" s="2">
        <v>42831</v>
      </c>
      <c r="AQ2155" t="s">
        <v>72</v>
      </c>
      <c r="AR2155" t="s">
        <v>72</v>
      </c>
      <c r="AS2155">
        <v>711</v>
      </c>
      <c r="AT2155" s="4">
        <v>42797</v>
      </c>
      <c r="AU2155" t="s">
        <v>73</v>
      </c>
      <c r="AV2155">
        <v>711</v>
      </c>
      <c r="AW2155" s="4">
        <v>42797</v>
      </c>
      <c r="AZ2155">
        <v>200.64</v>
      </c>
      <c r="BD2155">
        <v>0</v>
      </c>
      <c r="BN2155" t="s">
        <v>74</v>
      </c>
    </row>
    <row r="2156" spans="1:66">
      <c r="A2156">
        <v>106251</v>
      </c>
      <c r="B2156" t="s">
        <v>443</v>
      </c>
      <c r="C2156" s="1">
        <v>43300101</v>
      </c>
      <c r="D2156" t="s">
        <v>67</v>
      </c>
      <c r="H2156" t="str">
        <f t="shared" si="280"/>
        <v>04742650585</v>
      </c>
      <c r="I2156" t="str">
        <f t="shared" si="281"/>
        <v>01296201005</v>
      </c>
      <c r="K2156" t="str">
        <f>""</f>
        <v/>
      </c>
      <c r="M2156" t="s">
        <v>68</v>
      </c>
      <c r="N2156" t="str">
        <f t="shared" si="279"/>
        <v>FOR</v>
      </c>
      <c r="O2156" t="s">
        <v>69</v>
      </c>
      <c r="P2156" t="s">
        <v>75</v>
      </c>
      <c r="Q2156">
        <v>2016</v>
      </c>
      <c r="R2156" s="4">
        <v>42704</v>
      </c>
      <c r="S2156" s="2">
        <v>42711</v>
      </c>
      <c r="T2156" s="2">
        <v>42710</v>
      </c>
      <c r="U2156" s="4">
        <v>42770</v>
      </c>
      <c r="V2156" t="s">
        <v>71</v>
      </c>
      <c r="W2156" t="str">
        <f>"            14490/V2"</f>
        <v xml:space="preserve">            14490/V2</v>
      </c>
      <c r="X2156" s="1">
        <v>2108.16</v>
      </c>
      <c r="Y2156">
        <v>0</v>
      </c>
      <c r="Z2156" s="5">
        <v>1728</v>
      </c>
      <c r="AA2156" s="3">
        <v>27</v>
      </c>
      <c r="AB2156" s="5">
        <v>46656</v>
      </c>
      <c r="AC2156" s="1">
        <v>1728</v>
      </c>
      <c r="AD2156">
        <v>27</v>
      </c>
      <c r="AE2156" s="1">
        <v>46656</v>
      </c>
      <c r="AF2156">
        <v>380.16</v>
      </c>
      <c r="AJ2156">
        <v>0</v>
      </c>
      <c r="AK2156">
        <v>0</v>
      </c>
      <c r="AL2156">
        <v>0</v>
      </c>
      <c r="AM2156">
        <v>0</v>
      </c>
      <c r="AN2156">
        <v>0</v>
      </c>
      <c r="AO2156">
        <v>0</v>
      </c>
      <c r="AP2156" s="2">
        <v>42831</v>
      </c>
      <c r="AQ2156" t="s">
        <v>72</v>
      </c>
      <c r="AR2156" t="s">
        <v>72</v>
      </c>
      <c r="AS2156">
        <v>711</v>
      </c>
      <c r="AT2156" s="4">
        <v>42797</v>
      </c>
      <c r="AU2156" t="s">
        <v>73</v>
      </c>
      <c r="AV2156">
        <v>711</v>
      </c>
      <c r="AW2156" s="4">
        <v>42797</v>
      </c>
      <c r="AY2156">
        <v>380.16</v>
      </c>
      <c r="BD2156">
        <v>0</v>
      </c>
      <c r="BN2156" t="s">
        <v>74</v>
      </c>
    </row>
    <row r="2157" spans="1:66">
      <c r="A2157">
        <v>106251</v>
      </c>
      <c r="B2157" t="s">
        <v>443</v>
      </c>
      <c r="C2157" s="1">
        <v>43300101</v>
      </c>
      <c r="D2157" t="s">
        <v>67</v>
      </c>
      <c r="H2157" t="str">
        <f t="shared" si="280"/>
        <v>04742650585</v>
      </c>
      <c r="I2157" t="str">
        <f t="shared" si="281"/>
        <v>01296201005</v>
      </c>
      <c r="K2157" t="str">
        <f>""</f>
        <v/>
      </c>
      <c r="M2157" t="s">
        <v>68</v>
      </c>
      <c r="N2157" t="str">
        <f t="shared" si="279"/>
        <v>FOR</v>
      </c>
      <c r="O2157" t="s">
        <v>69</v>
      </c>
      <c r="P2157" t="s">
        <v>75</v>
      </c>
      <c r="Q2157">
        <v>2016</v>
      </c>
      <c r="R2157" s="4">
        <v>42704</v>
      </c>
      <c r="S2157" s="2">
        <v>42711</v>
      </c>
      <c r="T2157" s="2">
        <v>42710</v>
      </c>
      <c r="U2157" s="4">
        <v>42770</v>
      </c>
      <c r="V2157" t="s">
        <v>71</v>
      </c>
      <c r="W2157" t="str">
        <f>"            14491/V2"</f>
        <v xml:space="preserve">            14491/V2</v>
      </c>
      <c r="X2157">
        <v>878.4</v>
      </c>
      <c r="Y2157">
        <v>0</v>
      </c>
      <c r="Z2157" s="5">
        <v>720</v>
      </c>
      <c r="AA2157" s="3">
        <v>27</v>
      </c>
      <c r="AB2157" s="5">
        <v>19440</v>
      </c>
      <c r="AC2157">
        <v>720</v>
      </c>
      <c r="AD2157">
        <v>27</v>
      </c>
      <c r="AE2157" s="1">
        <v>19440</v>
      </c>
      <c r="AF2157">
        <v>158.4</v>
      </c>
      <c r="AJ2157">
        <v>0</v>
      </c>
      <c r="AK2157">
        <v>0</v>
      </c>
      <c r="AL2157">
        <v>0</v>
      </c>
      <c r="AM2157">
        <v>0</v>
      </c>
      <c r="AN2157">
        <v>0</v>
      </c>
      <c r="AO2157">
        <v>0</v>
      </c>
      <c r="AP2157" s="2">
        <v>42831</v>
      </c>
      <c r="AQ2157" t="s">
        <v>72</v>
      </c>
      <c r="AR2157" t="s">
        <v>72</v>
      </c>
      <c r="AS2157">
        <v>711</v>
      </c>
      <c r="AT2157" s="4">
        <v>42797</v>
      </c>
      <c r="AU2157" t="s">
        <v>73</v>
      </c>
      <c r="AV2157">
        <v>711</v>
      </c>
      <c r="AW2157" s="4">
        <v>42797</v>
      </c>
      <c r="AY2157">
        <v>158.4</v>
      </c>
      <c r="BD2157">
        <v>0</v>
      </c>
      <c r="BN2157" t="s">
        <v>74</v>
      </c>
    </row>
    <row r="2158" spans="1:66">
      <c r="A2158">
        <v>106251</v>
      </c>
      <c r="B2158" t="s">
        <v>443</v>
      </c>
      <c r="C2158" s="1">
        <v>43300101</v>
      </c>
      <c r="D2158" t="s">
        <v>67</v>
      </c>
      <c r="H2158" t="str">
        <f t="shared" si="280"/>
        <v>04742650585</v>
      </c>
      <c r="I2158" t="str">
        <f t="shared" si="281"/>
        <v>01296201005</v>
      </c>
      <c r="K2158" t="str">
        <f>""</f>
        <v/>
      </c>
      <c r="M2158" t="s">
        <v>68</v>
      </c>
      <c r="N2158" t="str">
        <f t="shared" si="279"/>
        <v>FOR</v>
      </c>
      <c r="O2158" t="s">
        <v>69</v>
      </c>
      <c r="P2158" t="s">
        <v>75</v>
      </c>
      <c r="Q2158">
        <v>2016</v>
      </c>
      <c r="R2158" s="4">
        <v>42734</v>
      </c>
      <c r="S2158" s="2">
        <v>42767</v>
      </c>
      <c r="T2158" s="2">
        <v>42767</v>
      </c>
      <c r="U2158" s="4">
        <v>42827</v>
      </c>
      <c r="V2158" t="s">
        <v>71</v>
      </c>
      <c r="W2158" t="str">
        <f>"            14821/V2"</f>
        <v xml:space="preserve">            14821/V2</v>
      </c>
      <c r="X2158" s="1">
        <v>1317.6</v>
      </c>
      <c r="Y2158">
        <v>0</v>
      </c>
      <c r="Z2158" s="5">
        <v>1080</v>
      </c>
      <c r="AA2158" s="3">
        <v>-30</v>
      </c>
      <c r="AB2158" s="5">
        <v>-32400</v>
      </c>
      <c r="AC2158" s="1">
        <v>1080</v>
      </c>
      <c r="AD2158">
        <v>-30</v>
      </c>
      <c r="AE2158" s="1">
        <v>-32400</v>
      </c>
      <c r="AF2158">
        <v>237.6</v>
      </c>
      <c r="AJ2158">
        <v>0</v>
      </c>
      <c r="AK2158" s="1">
        <v>1317.6</v>
      </c>
      <c r="AL2158">
        <v>0</v>
      </c>
      <c r="AM2158">
        <v>0</v>
      </c>
      <c r="AN2158" s="1">
        <v>1317.6</v>
      </c>
      <c r="AO2158">
        <v>0</v>
      </c>
      <c r="AP2158" s="2">
        <v>42831</v>
      </c>
      <c r="AQ2158" t="s">
        <v>72</v>
      </c>
      <c r="AR2158" t="s">
        <v>72</v>
      </c>
      <c r="AS2158">
        <v>711</v>
      </c>
      <c r="AT2158" s="4">
        <v>42797</v>
      </c>
      <c r="AV2158">
        <v>711</v>
      </c>
      <c r="AW2158" s="4">
        <v>42797</v>
      </c>
      <c r="BD2158">
        <v>0</v>
      </c>
      <c r="BF2158">
        <v>237.6</v>
      </c>
      <c r="BN2158" t="s">
        <v>74</v>
      </c>
    </row>
    <row r="2159" spans="1:66">
      <c r="A2159">
        <v>106268</v>
      </c>
      <c r="B2159" t="s">
        <v>444</v>
      </c>
      <c r="C2159" s="1">
        <v>43500101</v>
      </c>
      <c r="D2159" t="s">
        <v>98</v>
      </c>
      <c r="H2159" t="str">
        <f>"MRZRNG74L70C495L"</f>
        <v>MRZRNG74L70C495L</v>
      </c>
      <c r="I2159" t="str">
        <f>"06855941214"</f>
        <v>06855941214</v>
      </c>
      <c r="K2159" t="str">
        <f>""</f>
        <v/>
      </c>
      <c r="M2159" t="s">
        <v>68</v>
      </c>
      <c r="N2159" t="str">
        <f t="shared" ref="N2159:N2172" si="282">"ALTPRO"</f>
        <v>ALTPRO</v>
      </c>
      <c r="O2159" t="s">
        <v>116</v>
      </c>
      <c r="P2159" t="s">
        <v>75</v>
      </c>
      <c r="Q2159">
        <v>2017</v>
      </c>
      <c r="R2159" s="4">
        <v>42744</v>
      </c>
      <c r="S2159" s="2">
        <v>42747</v>
      </c>
      <c r="T2159" s="2">
        <v>42744</v>
      </c>
      <c r="U2159" s="4">
        <v>42804</v>
      </c>
      <c r="V2159" t="s">
        <v>71</v>
      </c>
      <c r="W2159" t="str">
        <f>"         FATTPA 1_17"</f>
        <v xml:space="preserve">         FATTPA 1_17</v>
      </c>
      <c r="X2159" s="1">
        <v>2370.6</v>
      </c>
      <c r="Y2159">
        <v>-474.12</v>
      </c>
      <c r="Z2159" s="5">
        <v>1896.48</v>
      </c>
      <c r="AA2159" s="3">
        <v>-39</v>
      </c>
      <c r="AB2159" s="5">
        <v>-73962.720000000001</v>
      </c>
      <c r="AC2159" s="1">
        <v>1896.48</v>
      </c>
      <c r="AD2159">
        <v>-39</v>
      </c>
      <c r="AE2159" s="1">
        <v>-73962.720000000001</v>
      </c>
      <c r="AF2159">
        <v>0</v>
      </c>
      <c r="AJ2159">
        <v>-474.12</v>
      </c>
      <c r="AK2159" s="1">
        <v>1896.48</v>
      </c>
      <c r="AL2159" s="1">
        <v>1896.48</v>
      </c>
      <c r="AM2159">
        <v>-474.12</v>
      </c>
      <c r="AN2159" s="1">
        <v>1896.48</v>
      </c>
      <c r="AO2159" s="1">
        <v>1896.48</v>
      </c>
      <c r="AP2159" s="2">
        <v>42831</v>
      </c>
      <c r="AQ2159" t="s">
        <v>72</v>
      </c>
      <c r="AR2159" t="s">
        <v>72</v>
      </c>
      <c r="AS2159">
        <v>137</v>
      </c>
      <c r="AT2159" s="4">
        <v>42765</v>
      </c>
      <c r="AV2159">
        <v>137</v>
      </c>
      <c r="AW2159" s="4">
        <v>42765</v>
      </c>
      <c r="BD2159">
        <v>0</v>
      </c>
      <c r="BN2159" t="s">
        <v>74</v>
      </c>
    </row>
    <row r="2160" spans="1:66">
      <c r="A2160">
        <v>106268</v>
      </c>
      <c r="B2160" t="s">
        <v>444</v>
      </c>
      <c r="C2160" s="1">
        <v>43500101</v>
      </c>
      <c r="D2160" t="s">
        <v>98</v>
      </c>
      <c r="H2160" t="str">
        <f>"MRZRNG74L70C495L"</f>
        <v>MRZRNG74L70C495L</v>
      </c>
      <c r="I2160" t="str">
        <f>"06855941214"</f>
        <v>06855941214</v>
      </c>
      <c r="K2160" t="str">
        <f>""</f>
        <v/>
      </c>
      <c r="M2160" t="s">
        <v>68</v>
      </c>
      <c r="N2160" t="str">
        <f t="shared" si="282"/>
        <v>ALTPRO</v>
      </c>
      <c r="O2160" t="s">
        <v>116</v>
      </c>
      <c r="P2160" t="s">
        <v>75</v>
      </c>
      <c r="Q2160">
        <v>2017</v>
      </c>
      <c r="R2160" s="4">
        <v>42773</v>
      </c>
      <c r="S2160" s="2">
        <v>42774</v>
      </c>
      <c r="T2160" s="2">
        <v>42773</v>
      </c>
      <c r="U2160" s="4">
        <v>42833</v>
      </c>
      <c r="V2160" t="s">
        <v>71</v>
      </c>
      <c r="W2160" t="str">
        <f>"         FATTPA 2_17"</f>
        <v xml:space="preserve">         FATTPA 2_17</v>
      </c>
      <c r="X2160" s="1">
        <v>1756</v>
      </c>
      <c r="Y2160">
        <v>-351.2</v>
      </c>
      <c r="Z2160" s="5">
        <v>1404.8</v>
      </c>
      <c r="AA2160" s="3">
        <v>-57</v>
      </c>
      <c r="AB2160" s="5">
        <v>-80073.600000000006</v>
      </c>
      <c r="AC2160" s="1">
        <v>1404.8</v>
      </c>
      <c r="AD2160">
        <v>-57</v>
      </c>
      <c r="AE2160" s="1">
        <v>-80073.600000000006</v>
      </c>
      <c r="AF2160">
        <v>0</v>
      </c>
      <c r="AJ2160" s="1">
        <v>1404.8</v>
      </c>
      <c r="AK2160" s="1">
        <v>1404.8</v>
      </c>
      <c r="AL2160" s="1">
        <v>1404.8</v>
      </c>
      <c r="AM2160" s="1">
        <v>1404.8</v>
      </c>
      <c r="AN2160" s="1">
        <v>1404.8</v>
      </c>
      <c r="AO2160" s="1">
        <v>1404.8</v>
      </c>
      <c r="AP2160" s="2">
        <v>42831</v>
      </c>
      <c r="AQ2160" t="s">
        <v>72</v>
      </c>
      <c r="AR2160" t="s">
        <v>72</v>
      </c>
      <c r="AS2160">
        <v>396</v>
      </c>
      <c r="AT2160" s="4">
        <v>42776</v>
      </c>
      <c r="AV2160">
        <v>396</v>
      </c>
      <c r="AW2160" s="4">
        <v>42776</v>
      </c>
      <c r="BD2160">
        <v>0</v>
      </c>
      <c r="BN2160" t="s">
        <v>74</v>
      </c>
    </row>
    <row r="2161" spans="1:66">
      <c r="A2161">
        <v>106268</v>
      </c>
      <c r="B2161" t="s">
        <v>444</v>
      </c>
      <c r="C2161" s="1">
        <v>43500101</v>
      </c>
      <c r="D2161" t="s">
        <v>98</v>
      </c>
      <c r="H2161" t="str">
        <f>"MRZRNG74L70C495L"</f>
        <v>MRZRNG74L70C495L</v>
      </c>
      <c r="I2161" t="str">
        <f>"06855941214"</f>
        <v>06855941214</v>
      </c>
      <c r="K2161" t="str">
        <f>""</f>
        <v/>
      </c>
      <c r="M2161" t="s">
        <v>68</v>
      </c>
      <c r="N2161" t="str">
        <f t="shared" si="282"/>
        <v>ALTPRO</v>
      </c>
      <c r="O2161" t="s">
        <v>116</v>
      </c>
      <c r="P2161" t="s">
        <v>75</v>
      </c>
      <c r="Q2161">
        <v>2017</v>
      </c>
      <c r="R2161" s="4">
        <v>42803</v>
      </c>
      <c r="S2161" s="2">
        <v>42803</v>
      </c>
      <c r="T2161" s="2">
        <v>42803</v>
      </c>
      <c r="U2161" s="4">
        <v>42863</v>
      </c>
      <c r="V2161" t="s">
        <v>71</v>
      </c>
      <c r="W2161" t="str">
        <f>"         FATTPA 3_17"</f>
        <v xml:space="preserve">         FATTPA 3_17</v>
      </c>
      <c r="X2161" s="1">
        <v>2493.52</v>
      </c>
      <c r="Y2161">
        <v>-498.7</v>
      </c>
      <c r="Z2161" s="5">
        <v>1994.82</v>
      </c>
      <c r="AA2161" s="3">
        <v>-54</v>
      </c>
      <c r="AB2161" s="5">
        <v>-107720.28</v>
      </c>
      <c r="AC2161" s="1">
        <v>1994.82</v>
      </c>
      <c r="AD2161">
        <v>-54</v>
      </c>
      <c r="AE2161" s="1">
        <v>-107720.28</v>
      </c>
      <c r="AF2161">
        <v>0</v>
      </c>
      <c r="AJ2161" s="1">
        <v>1994.82</v>
      </c>
      <c r="AK2161" s="1">
        <v>1994.82</v>
      </c>
      <c r="AL2161" s="1">
        <v>1994.82</v>
      </c>
      <c r="AM2161" s="1">
        <v>1994.82</v>
      </c>
      <c r="AN2161" s="1">
        <v>1994.82</v>
      </c>
      <c r="AO2161" s="1">
        <v>1994.82</v>
      </c>
      <c r="AP2161" s="2">
        <v>42831</v>
      </c>
      <c r="AQ2161" t="s">
        <v>72</v>
      </c>
      <c r="AR2161" t="s">
        <v>72</v>
      </c>
      <c r="AS2161">
        <v>764</v>
      </c>
      <c r="AT2161" s="4">
        <v>42809</v>
      </c>
      <c r="AV2161">
        <v>764</v>
      </c>
      <c r="AW2161" s="4">
        <v>42809</v>
      </c>
      <c r="BD2161">
        <v>0</v>
      </c>
      <c r="BN2161" t="s">
        <v>74</v>
      </c>
    </row>
    <row r="2162" spans="1:66">
      <c r="A2162">
        <v>106269</v>
      </c>
      <c r="B2162" t="s">
        <v>445</v>
      </c>
      <c r="C2162" s="1">
        <v>43500101</v>
      </c>
      <c r="D2162" t="s">
        <v>98</v>
      </c>
      <c r="H2162" t="str">
        <f>"DLLVCN78P27F839A"</f>
        <v>DLLVCN78P27F839A</v>
      </c>
      <c r="I2162" t="str">
        <f>"05148261216"</f>
        <v>05148261216</v>
      </c>
      <c r="K2162" t="str">
        <f>""</f>
        <v/>
      </c>
      <c r="M2162" t="s">
        <v>68</v>
      </c>
      <c r="N2162" t="str">
        <f t="shared" si="282"/>
        <v>ALTPRO</v>
      </c>
      <c r="O2162" t="s">
        <v>116</v>
      </c>
      <c r="P2162" t="s">
        <v>75</v>
      </c>
      <c r="Q2162">
        <v>2017</v>
      </c>
      <c r="R2162" s="4">
        <v>42744</v>
      </c>
      <c r="S2162" s="2">
        <v>42747</v>
      </c>
      <c r="T2162" s="2">
        <v>42744</v>
      </c>
      <c r="U2162" s="4">
        <v>42804</v>
      </c>
      <c r="V2162" t="s">
        <v>71</v>
      </c>
      <c r="W2162" t="str">
        <f>"         FATTPA 1_17"</f>
        <v xml:space="preserve">         FATTPA 1_17</v>
      </c>
      <c r="X2162" s="1">
        <v>2634</v>
      </c>
      <c r="Y2162">
        <v>-526.79999999999995</v>
      </c>
      <c r="Z2162" s="5">
        <v>2107.1999999999998</v>
      </c>
      <c r="AA2162" s="3">
        <v>-39</v>
      </c>
      <c r="AB2162" s="5">
        <v>-82180.800000000003</v>
      </c>
      <c r="AC2162" s="1">
        <v>2107.1999999999998</v>
      </c>
      <c r="AD2162">
        <v>-39</v>
      </c>
      <c r="AE2162" s="1">
        <v>-82180.800000000003</v>
      </c>
      <c r="AF2162">
        <v>0</v>
      </c>
      <c r="AJ2162">
        <v>-526.79999999999995</v>
      </c>
      <c r="AK2162" s="1">
        <v>2107.1999999999998</v>
      </c>
      <c r="AL2162" s="1">
        <v>2107.1999999999998</v>
      </c>
      <c r="AM2162">
        <v>-526.79999999999995</v>
      </c>
      <c r="AN2162" s="1">
        <v>2107.1999999999998</v>
      </c>
      <c r="AO2162" s="1">
        <v>2107.1999999999998</v>
      </c>
      <c r="AP2162" s="2">
        <v>42831</v>
      </c>
      <c r="AQ2162" t="s">
        <v>72</v>
      </c>
      <c r="AR2162" t="s">
        <v>72</v>
      </c>
      <c r="AS2162">
        <v>138</v>
      </c>
      <c r="AT2162" s="4">
        <v>42765</v>
      </c>
      <c r="AV2162">
        <v>138</v>
      </c>
      <c r="AW2162" s="4">
        <v>42765</v>
      </c>
      <c r="BD2162">
        <v>0</v>
      </c>
      <c r="BN2162" t="s">
        <v>74</v>
      </c>
    </row>
    <row r="2163" spans="1:66">
      <c r="A2163">
        <v>106269</v>
      </c>
      <c r="B2163" t="s">
        <v>445</v>
      </c>
      <c r="C2163" s="1">
        <v>43500101</v>
      </c>
      <c r="D2163" t="s">
        <v>98</v>
      </c>
      <c r="H2163" t="str">
        <f>"DLLVCN78P27F839A"</f>
        <v>DLLVCN78P27F839A</v>
      </c>
      <c r="I2163" t="str">
        <f>"05148261216"</f>
        <v>05148261216</v>
      </c>
      <c r="K2163" t="str">
        <f>""</f>
        <v/>
      </c>
      <c r="M2163" t="s">
        <v>68</v>
      </c>
      <c r="N2163" t="str">
        <f t="shared" si="282"/>
        <v>ALTPRO</v>
      </c>
      <c r="O2163" t="s">
        <v>116</v>
      </c>
      <c r="P2163" t="s">
        <v>75</v>
      </c>
      <c r="Q2163">
        <v>2017</v>
      </c>
      <c r="R2163" s="4">
        <v>42773</v>
      </c>
      <c r="S2163" s="2">
        <v>42774</v>
      </c>
      <c r="T2163" s="2">
        <v>42773</v>
      </c>
      <c r="U2163" s="4">
        <v>42833</v>
      </c>
      <c r="V2163" t="s">
        <v>71</v>
      </c>
      <c r="W2163" t="str">
        <f>"         FATTPA 2_17"</f>
        <v xml:space="preserve">         FATTPA 2_17</v>
      </c>
      <c r="X2163" s="1">
        <v>2634</v>
      </c>
      <c r="Y2163">
        <v>-526.79999999999995</v>
      </c>
      <c r="Z2163" s="5">
        <v>2107.1999999999998</v>
      </c>
      <c r="AA2163" s="3">
        <v>-57</v>
      </c>
      <c r="AB2163" s="5">
        <v>-120110.39999999999</v>
      </c>
      <c r="AC2163" s="1">
        <v>2107.1999999999998</v>
      </c>
      <c r="AD2163">
        <v>-57</v>
      </c>
      <c r="AE2163" s="1">
        <v>-120110.39999999999</v>
      </c>
      <c r="AF2163">
        <v>0</v>
      </c>
      <c r="AJ2163" s="1">
        <v>2107.1999999999998</v>
      </c>
      <c r="AK2163" s="1">
        <v>2107.1999999999998</v>
      </c>
      <c r="AL2163" s="1">
        <v>2107.1999999999998</v>
      </c>
      <c r="AM2163" s="1">
        <v>2107.1999999999998</v>
      </c>
      <c r="AN2163" s="1">
        <v>2107.1999999999998</v>
      </c>
      <c r="AO2163" s="1">
        <v>2107.1999999999998</v>
      </c>
      <c r="AP2163" s="2">
        <v>42831</v>
      </c>
      <c r="AQ2163" t="s">
        <v>72</v>
      </c>
      <c r="AR2163" t="s">
        <v>72</v>
      </c>
      <c r="AS2163">
        <v>395</v>
      </c>
      <c r="AT2163" s="4">
        <v>42776</v>
      </c>
      <c r="AV2163">
        <v>395</v>
      </c>
      <c r="AW2163" s="4">
        <v>42776</v>
      </c>
      <c r="BD2163">
        <v>0</v>
      </c>
      <c r="BN2163" t="s">
        <v>74</v>
      </c>
    </row>
    <row r="2164" spans="1:66">
      <c r="A2164">
        <v>106269</v>
      </c>
      <c r="B2164" t="s">
        <v>445</v>
      </c>
      <c r="C2164" s="1">
        <v>43500101</v>
      </c>
      <c r="D2164" t="s">
        <v>98</v>
      </c>
      <c r="H2164" t="str">
        <f>"DLLVCN78P27F839A"</f>
        <v>DLLVCN78P27F839A</v>
      </c>
      <c r="I2164" t="str">
        <f>"05148261216"</f>
        <v>05148261216</v>
      </c>
      <c r="K2164" t="str">
        <f>""</f>
        <v/>
      </c>
      <c r="M2164" t="s">
        <v>68</v>
      </c>
      <c r="N2164" t="str">
        <f t="shared" si="282"/>
        <v>ALTPRO</v>
      </c>
      <c r="O2164" t="s">
        <v>116</v>
      </c>
      <c r="P2164" t="s">
        <v>75</v>
      </c>
      <c r="Q2164">
        <v>2017</v>
      </c>
      <c r="R2164" s="4">
        <v>42783</v>
      </c>
      <c r="S2164" s="2">
        <v>42786</v>
      </c>
      <c r="T2164" s="2">
        <v>42783</v>
      </c>
      <c r="U2164" s="4">
        <v>42843</v>
      </c>
      <c r="V2164" t="s">
        <v>71</v>
      </c>
      <c r="W2164" t="str">
        <f>"         FATTPA 3_17"</f>
        <v xml:space="preserve">         FATTPA 3_17</v>
      </c>
      <c r="X2164" s="1">
        <v>1527.72</v>
      </c>
      <c r="Y2164">
        <v>-305.54000000000002</v>
      </c>
      <c r="Z2164" s="5">
        <v>1222.18</v>
      </c>
      <c r="AA2164" s="3">
        <v>-50</v>
      </c>
      <c r="AB2164" s="5">
        <v>-61109</v>
      </c>
      <c r="AC2164" s="1">
        <v>1222.18</v>
      </c>
      <c r="AD2164">
        <v>-50</v>
      </c>
      <c r="AE2164" s="1">
        <v>-61109</v>
      </c>
      <c r="AF2164">
        <v>0</v>
      </c>
      <c r="AJ2164" s="1">
        <v>1222.18</v>
      </c>
      <c r="AK2164" s="1">
        <v>1222.18</v>
      </c>
      <c r="AL2164" s="1">
        <v>1222.18</v>
      </c>
      <c r="AM2164" s="1">
        <v>1222.18</v>
      </c>
      <c r="AN2164" s="1">
        <v>1222.18</v>
      </c>
      <c r="AO2164" s="1">
        <v>1222.18</v>
      </c>
      <c r="AP2164" s="2">
        <v>42831</v>
      </c>
      <c r="AQ2164" t="s">
        <v>72</v>
      </c>
      <c r="AR2164" t="s">
        <v>72</v>
      </c>
      <c r="AS2164">
        <v>587</v>
      </c>
      <c r="AT2164" s="4">
        <v>42793</v>
      </c>
      <c r="AV2164">
        <v>587</v>
      </c>
      <c r="AW2164" s="4">
        <v>42793</v>
      </c>
      <c r="BD2164">
        <v>0</v>
      </c>
      <c r="BN2164" t="s">
        <v>74</v>
      </c>
    </row>
    <row r="2165" spans="1:66" hidden="1">
      <c r="A2165">
        <v>106274</v>
      </c>
      <c r="B2165" t="s">
        <v>446</v>
      </c>
      <c r="C2165" s="1">
        <v>43500101</v>
      </c>
      <c r="D2165" t="s">
        <v>98</v>
      </c>
      <c r="H2165" t="str">
        <f>"02828850582"</f>
        <v>02828850582</v>
      </c>
      <c r="I2165" t="str">
        <f>"01123081000"</f>
        <v>01123081000</v>
      </c>
      <c r="K2165" t="str">
        <f>""</f>
        <v/>
      </c>
      <c r="M2165" t="s">
        <v>68</v>
      </c>
      <c r="N2165" t="str">
        <f t="shared" si="282"/>
        <v>ALTPRO</v>
      </c>
      <c r="O2165" t="s">
        <v>116</v>
      </c>
      <c r="P2165" t="s">
        <v>82</v>
      </c>
      <c r="Q2165">
        <v>2017</v>
      </c>
      <c r="R2165" s="4">
        <v>42755</v>
      </c>
      <c r="S2165" s="2">
        <v>42755</v>
      </c>
      <c r="T2165" s="2">
        <v>42755</v>
      </c>
      <c r="U2165" s="4">
        <v>42815</v>
      </c>
      <c r="V2165" t="s">
        <v>71</v>
      </c>
      <c r="W2165" t="str">
        <f>"                0120"</f>
        <v xml:space="preserve">                0120</v>
      </c>
      <c r="X2165">
        <v>0</v>
      </c>
      <c r="Y2165">
        <v>322.45999999999998</v>
      </c>
      <c r="Z2165" s="3">
        <v>322.45999999999998</v>
      </c>
      <c r="AA2165" s="3">
        <v>-57</v>
      </c>
      <c r="AB2165" s="5">
        <v>-18380.22</v>
      </c>
      <c r="AC2165">
        <v>322.45999999999998</v>
      </c>
      <c r="AD2165">
        <v>-57</v>
      </c>
      <c r="AE2165" s="1">
        <v>-18380.22</v>
      </c>
      <c r="AF2165">
        <v>0</v>
      </c>
      <c r="AJ2165">
        <v>322.45999999999998</v>
      </c>
      <c r="AK2165">
        <v>322.45999999999998</v>
      </c>
      <c r="AL2165">
        <v>322.45999999999998</v>
      </c>
      <c r="AM2165">
        <v>322.45999999999998</v>
      </c>
      <c r="AN2165">
        <v>322.45999999999998</v>
      </c>
      <c r="AO2165">
        <v>322.45999999999998</v>
      </c>
      <c r="AP2165" s="2">
        <v>42831</v>
      </c>
      <c r="AQ2165" t="s">
        <v>72</v>
      </c>
      <c r="AR2165" t="s">
        <v>72</v>
      </c>
      <c r="AS2165">
        <v>75</v>
      </c>
      <c r="AT2165" s="4">
        <v>42758</v>
      </c>
      <c r="AV2165">
        <v>75</v>
      </c>
      <c r="AW2165" s="4">
        <v>42758</v>
      </c>
      <c r="BD2165">
        <v>0</v>
      </c>
      <c r="BN2165" t="s">
        <v>74</v>
      </c>
    </row>
    <row r="2166" spans="1:66" hidden="1">
      <c r="A2166">
        <v>106274</v>
      </c>
      <c r="B2166" t="s">
        <v>446</v>
      </c>
      <c r="C2166" s="1">
        <v>43500101</v>
      </c>
      <c r="D2166" t="s">
        <v>98</v>
      </c>
      <c r="H2166" t="str">
        <f>"02828850582"</f>
        <v>02828850582</v>
      </c>
      <c r="I2166" t="str">
        <f>"01123081000"</f>
        <v>01123081000</v>
      </c>
      <c r="K2166" t="str">
        <f>""</f>
        <v/>
      </c>
      <c r="M2166" t="s">
        <v>68</v>
      </c>
      <c r="N2166" t="str">
        <f t="shared" si="282"/>
        <v>ALTPRO</v>
      </c>
      <c r="O2166" t="s">
        <v>116</v>
      </c>
      <c r="P2166" t="s">
        <v>83</v>
      </c>
      <c r="Q2166">
        <v>2017</v>
      </c>
      <c r="R2166" s="4">
        <v>42786</v>
      </c>
      <c r="S2166" s="2">
        <v>42787</v>
      </c>
      <c r="T2166" s="2">
        <v>42787</v>
      </c>
      <c r="U2166" s="4">
        <v>42847</v>
      </c>
      <c r="V2166" t="s">
        <v>71</v>
      </c>
      <c r="W2166" t="str">
        <f>"                0220"</f>
        <v xml:space="preserve">                0220</v>
      </c>
      <c r="X2166">
        <v>0</v>
      </c>
      <c r="Y2166">
        <v>322.45999999999998</v>
      </c>
      <c r="Z2166" s="3">
        <v>322.45999999999998</v>
      </c>
      <c r="AA2166" s="3">
        <v>-60</v>
      </c>
      <c r="AB2166" s="5">
        <v>-19347.599999999999</v>
      </c>
      <c r="AC2166">
        <v>322.45999999999998</v>
      </c>
      <c r="AD2166">
        <v>-60</v>
      </c>
      <c r="AE2166" s="1">
        <v>-19347.599999999999</v>
      </c>
      <c r="AF2166">
        <v>0</v>
      </c>
      <c r="AJ2166">
        <v>322.45999999999998</v>
      </c>
      <c r="AK2166">
        <v>322.45999999999998</v>
      </c>
      <c r="AL2166">
        <v>322.45999999999998</v>
      </c>
      <c r="AM2166">
        <v>322.45999999999998</v>
      </c>
      <c r="AN2166">
        <v>322.45999999999998</v>
      </c>
      <c r="AO2166">
        <v>322.45999999999998</v>
      </c>
      <c r="AP2166" s="2">
        <v>42831</v>
      </c>
      <c r="AQ2166" t="s">
        <v>72</v>
      </c>
      <c r="AR2166" t="s">
        <v>72</v>
      </c>
      <c r="AS2166">
        <v>555</v>
      </c>
      <c r="AT2166" s="4">
        <v>42787</v>
      </c>
      <c r="AV2166">
        <v>555</v>
      </c>
      <c r="AW2166" s="4">
        <v>42787</v>
      </c>
      <c r="BD2166">
        <v>0</v>
      </c>
      <c r="BN2166" t="s">
        <v>74</v>
      </c>
    </row>
    <row r="2167" spans="1:66" hidden="1">
      <c r="A2167">
        <v>106274</v>
      </c>
      <c r="B2167" t="s">
        <v>446</v>
      </c>
      <c r="C2167" s="1">
        <v>43500101</v>
      </c>
      <c r="D2167" t="s">
        <v>98</v>
      </c>
      <c r="H2167" t="str">
        <f>"02828850582"</f>
        <v>02828850582</v>
      </c>
      <c r="I2167" t="str">
        <f>"01123081000"</f>
        <v>01123081000</v>
      </c>
      <c r="K2167" t="str">
        <f>""</f>
        <v/>
      </c>
      <c r="M2167" t="s">
        <v>68</v>
      </c>
      <c r="N2167" t="str">
        <f t="shared" si="282"/>
        <v>ALTPRO</v>
      </c>
      <c r="O2167" t="s">
        <v>116</v>
      </c>
      <c r="P2167" t="s">
        <v>84</v>
      </c>
      <c r="Q2167">
        <v>2017</v>
      </c>
      <c r="R2167" s="4">
        <v>42815</v>
      </c>
      <c r="S2167" s="2">
        <v>42815</v>
      </c>
      <c r="T2167" s="2">
        <v>42815</v>
      </c>
      <c r="U2167" s="4">
        <v>42875</v>
      </c>
      <c r="V2167" t="s">
        <v>71</v>
      </c>
      <c r="W2167" t="str">
        <f>"                0321"</f>
        <v xml:space="preserve">                0321</v>
      </c>
      <c r="X2167">
        <v>0</v>
      </c>
      <c r="Y2167">
        <v>322.45999999999998</v>
      </c>
      <c r="Z2167" s="3">
        <v>322.45999999999998</v>
      </c>
      <c r="AA2167" s="3">
        <v>-60</v>
      </c>
      <c r="AB2167" s="5">
        <v>-19347.599999999999</v>
      </c>
      <c r="AC2167">
        <v>322.45999999999998</v>
      </c>
      <c r="AD2167">
        <v>-60</v>
      </c>
      <c r="AE2167" s="1">
        <v>-19347.599999999999</v>
      </c>
      <c r="AF2167">
        <v>0</v>
      </c>
      <c r="AJ2167">
        <v>322.45999999999998</v>
      </c>
      <c r="AK2167">
        <v>322.45999999999998</v>
      </c>
      <c r="AL2167">
        <v>322.45999999999998</v>
      </c>
      <c r="AM2167">
        <v>322.45999999999998</v>
      </c>
      <c r="AN2167">
        <v>322.45999999999998</v>
      </c>
      <c r="AO2167">
        <v>322.45999999999998</v>
      </c>
      <c r="AP2167" s="2">
        <v>42831</v>
      </c>
      <c r="AQ2167" t="s">
        <v>72</v>
      </c>
      <c r="AR2167" t="s">
        <v>72</v>
      </c>
      <c r="AS2167">
        <v>852</v>
      </c>
      <c r="AT2167" s="4">
        <v>42815</v>
      </c>
      <c r="AV2167">
        <v>852</v>
      </c>
      <c r="AW2167" s="4">
        <v>42815</v>
      </c>
      <c r="BD2167">
        <v>0</v>
      </c>
      <c r="BN2167" t="s">
        <v>74</v>
      </c>
    </row>
    <row r="2168" spans="1:66">
      <c r="A2168">
        <v>106280</v>
      </c>
      <c r="B2168" t="s">
        <v>447</v>
      </c>
      <c r="C2168" s="1">
        <v>43500101</v>
      </c>
      <c r="D2168" t="s">
        <v>98</v>
      </c>
      <c r="H2168" t="str">
        <f>"RFCMDL74L54F839F"</f>
        <v>RFCMDL74L54F839F</v>
      </c>
      <c r="I2168" t="str">
        <f>"05993391217"</f>
        <v>05993391217</v>
      </c>
      <c r="K2168" t="str">
        <f>""</f>
        <v/>
      </c>
      <c r="M2168" t="s">
        <v>68</v>
      </c>
      <c r="N2168" t="str">
        <f t="shared" si="282"/>
        <v>ALTPRO</v>
      </c>
      <c r="O2168" t="s">
        <v>116</v>
      </c>
      <c r="P2168" t="s">
        <v>75</v>
      </c>
      <c r="Q2168">
        <v>2016</v>
      </c>
      <c r="R2168" s="4">
        <v>42734</v>
      </c>
      <c r="S2168" s="2">
        <v>42752</v>
      </c>
      <c r="T2168" s="2">
        <v>42752</v>
      </c>
      <c r="U2168" s="4">
        <v>42812</v>
      </c>
      <c r="V2168" t="s">
        <v>71</v>
      </c>
      <c r="W2168" t="str">
        <f>"         FATTPA 6_16"</f>
        <v xml:space="preserve">         FATTPA 6_16</v>
      </c>
      <c r="X2168" s="1">
        <v>2500</v>
      </c>
      <c r="Y2168">
        <v>0</v>
      </c>
      <c r="Z2168" s="5">
        <v>2500</v>
      </c>
      <c r="AA2168" s="3">
        <v>-47</v>
      </c>
      <c r="AB2168" s="5">
        <v>-117500</v>
      </c>
      <c r="AC2168" s="1">
        <v>2500</v>
      </c>
      <c r="AD2168">
        <v>-47</v>
      </c>
      <c r="AE2168" s="1">
        <v>-117500</v>
      </c>
      <c r="AF2168">
        <v>0</v>
      </c>
      <c r="AJ2168">
        <v>0</v>
      </c>
      <c r="AK2168" s="1">
        <v>2500</v>
      </c>
      <c r="AL2168">
        <v>0</v>
      </c>
      <c r="AM2168">
        <v>0</v>
      </c>
      <c r="AN2168" s="1">
        <v>2500</v>
      </c>
      <c r="AO2168">
        <v>0</v>
      </c>
      <c r="AP2168" s="2">
        <v>42831</v>
      </c>
      <c r="AQ2168" t="s">
        <v>72</v>
      </c>
      <c r="AR2168" t="s">
        <v>72</v>
      </c>
      <c r="AS2168">
        <v>141</v>
      </c>
      <c r="AT2168" s="4">
        <v>42765</v>
      </c>
      <c r="AV2168">
        <v>141</v>
      </c>
      <c r="AW2168" s="4">
        <v>42765</v>
      </c>
      <c r="BD2168">
        <v>0</v>
      </c>
      <c r="BN2168" t="s">
        <v>74</v>
      </c>
    </row>
    <row r="2169" spans="1:66">
      <c r="A2169">
        <v>106284</v>
      </c>
      <c r="B2169" t="s">
        <v>448</v>
      </c>
      <c r="C2169" s="1">
        <v>43500101</v>
      </c>
      <c r="D2169" t="s">
        <v>98</v>
      </c>
      <c r="H2169" t="str">
        <f>"SLASLV84R55A783S"</f>
        <v>SLASLV84R55A783S</v>
      </c>
      <c r="I2169" t="str">
        <f>"01561490622"</f>
        <v>01561490622</v>
      </c>
      <c r="K2169" t="str">
        <f>""</f>
        <v/>
      </c>
      <c r="M2169" t="s">
        <v>68</v>
      </c>
      <c r="N2169" t="str">
        <f t="shared" si="282"/>
        <v>ALTPRO</v>
      </c>
      <c r="O2169" t="s">
        <v>116</v>
      </c>
      <c r="P2169" t="s">
        <v>75</v>
      </c>
      <c r="Q2169">
        <v>2017</v>
      </c>
      <c r="R2169" s="4">
        <v>42737</v>
      </c>
      <c r="S2169" s="2">
        <v>42747</v>
      </c>
      <c r="T2169" s="2">
        <v>42744</v>
      </c>
      <c r="U2169" s="4">
        <v>42804</v>
      </c>
      <c r="V2169" t="s">
        <v>71</v>
      </c>
      <c r="W2169" t="str">
        <f>"         FATTPA 1_17"</f>
        <v xml:space="preserve">         FATTPA 1_17</v>
      </c>
      <c r="X2169" s="1">
        <v>2166.66</v>
      </c>
      <c r="Y2169">
        <v>0</v>
      </c>
      <c r="Z2169" s="5">
        <v>2166.66</v>
      </c>
      <c r="AA2169" s="3">
        <v>-39</v>
      </c>
      <c r="AB2169" s="5">
        <v>-84499.74</v>
      </c>
      <c r="AC2169" s="1">
        <v>2166.66</v>
      </c>
      <c r="AD2169">
        <v>-39</v>
      </c>
      <c r="AE2169" s="1">
        <v>-84499.74</v>
      </c>
      <c r="AF2169">
        <v>0</v>
      </c>
      <c r="AJ2169" s="1">
        <v>2166.66</v>
      </c>
      <c r="AK2169" s="1">
        <v>2166.66</v>
      </c>
      <c r="AL2169" s="1">
        <v>2166.66</v>
      </c>
      <c r="AM2169" s="1">
        <v>2166.66</v>
      </c>
      <c r="AN2169" s="1">
        <v>2166.66</v>
      </c>
      <c r="AO2169" s="1">
        <v>2166.66</v>
      </c>
      <c r="AP2169" s="2">
        <v>42831</v>
      </c>
      <c r="AQ2169" t="s">
        <v>72</v>
      </c>
      <c r="AR2169" t="s">
        <v>72</v>
      </c>
      <c r="AS2169">
        <v>143</v>
      </c>
      <c r="AT2169" s="4">
        <v>42765</v>
      </c>
      <c r="AV2169">
        <v>143</v>
      </c>
      <c r="AW2169" s="4">
        <v>42765</v>
      </c>
      <c r="BD2169">
        <v>0</v>
      </c>
      <c r="BN2169" t="s">
        <v>74</v>
      </c>
    </row>
    <row r="2170" spans="1:66">
      <c r="A2170">
        <v>106284</v>
      </c>
      <c r="B2170" t="s">
        <v>448</v>
      </c>
      <c r="C2170" s="1">
        <v>43500101</v>
      </c>
      <c r="D2170" t="s">
        <v>98</v>
      </c>
      <c r="H2170" t="str">
        <f>"SLASLV84R55A783S"</f>
        <v>SLASLV84R55A783S</v>
      </c>
      <c r="I2170" t="str">
        <f>"01561490622"</f>
        <v>01561490622</v>
      </c>
      <c r="K2170" t="str">
        <f>""</f>
        <v/>
      </c>
      <c r="M2170" t="s">
        <v>68</v>
      </c>
      <c r="N2170" t="str">
        <f t="shared" si="282"/>
        <v>ALTPRO</v>
      </c>
      <c r="O2170" t="s">
        <v>116</v>
      </c>
      <c r="P2170" t="s">
        <v>75</v>
      </c>
      <c r="Q2170">
        <v>2017</v>
      </c>
      <c r="R2170" s="4">
        <v>42795</v>
      </c>
      <c r="S2170" s="2">
        <v>42795</v>
      </c>
      <c r="T2170" s="2">
        <v>42795</v>
      </c>
      <c r="U2170" s="4">
        <v>42855</v>
      </c>
      <c r="V2170" t="s">
        <v>71</v>
      </c>
      <c r="W2170" t="str">
        <f>"         FATTPA 2_17"</f>
        <v xml:space="preserve">         FATTPA 2_17</v>
      </c>
      <c r="X2170" s="1">
        <v>2166.66</v>
      </c>
      <c r="Y2170">
        <v>0</v>
      </c>
      <c r="Z2170" s="5">
        <v>2166.66</v>
      </c>
      <c r="AA2170" s="3">
        <v>-46</v>
      </c>
      <c r="AB2170" s="5">
        <v>-99666.36</v>
      </c>
      <c r="AC2170" s="1">
        <v>2166.66</v>
      </c>
      <c r="AD2170">
        <v>-46</v>
      </c>
      <c r="AE2170" s="1">
        <v>-99666.36</v>
      </c>
      <c r="AF2170">
        <v>0</v>
      </c>
      <c r="AJ2170" s="1">
        <v>2166.66</v>
      </c>
      <c r="AK2170" s="1">
        <v>2166.66</v>
      </c>
      <c r="AL2170" s="1">
        <v>2166.66</v>
      </c>
      <c r="AM2170" s="1">
        <v>2166.66</v>
      </c>
      <c r="AN2170" s="1">
        <v>2166.66</v>
      </c>
      <c r="AO2170" s="1">
        <v>2166.66</v>
      </c>
      <c r="AP2170" s="2">
        <v>42831</v>
      </c>
      <c r="AQ2170" t="s">
        <v>72</v>
      </c>
      <c r="AR2170" t="s">
        <v>72</v>
      </c>
      <c r="AS2170">
        <v>768</v>
      </c>
      <c r="AT2170" s="4">
        <v>42809</v>
      </c>
      <c r="AV2170">
        <v>768</v>
      </c>
      <c r="AW2170" s="4">
        <v>42809</v>
      </c>
      <c r="BD2170">
        <v>0</v>
      </c>
      <c r="BN2170" t="s">
        <v>74</v>
      </c>
    </row>
    <row r="2171" spans="1:66">
      <c r="A2171">
        <v>106285</v>
      </c>
      <c r="B2171" t="s">
        <v>449</v>
      </c>
      <c r="C2171" s="1">
        <v>43500101</v>
      </c>
      <c r="D2171" t="s">
        <v>98</v>
      </c>
      <c r="H2171" t="str">
        <f>"PNCYLN80M56A783V"</f>
        <v>PNCYLN80M56A783V</v>
      </c>
      <c r="I2171" t="str">
        <f>"01561270628"</f>
        <v>01561270628</v>
      </c>
      <c r="K2171" t="str">
        <f>""</f>
        <v/>
      </c>
      <c r="M2171" t="s">
        <v>68</v>
      </c>
      <c r="N2171" t="str">
        <f t="shared" si="282"/>
        <v>ALTPRO</v>
      </c>
      <c r="O2171" t="s">
        <v>116</v>
      </c>
      <c r="P2171" t="s">
        <v>75</v>
      </c>
      <c r="Q2171">
        <v>2017</v>
      </c>
      <c r="R2171" s="4">
        <v>42752</v>
      </c>
      <c r="S2171" s="2">
        <v>42754</v>
      </c>
      <c r="T2171" s="2">
        <v>42752</v>
      </c>
      <c r="U2171" s="4">
        <v>42812</v>
      </c>
      <c r="V2171" t="s">
        <v>71</v>
      </c>
      <c r="W2171" t="str">
        <f>"                10/E"</f>
        <v xml:space="preserve">                10/E</v>
      </c>
      <c r="X2171" s="1">
        <v>2166.66</v>
      </c>
      <c r="Y2171">
        <v>0</v>
      </c>
      <c r="Z2171" s="5">
        <v>2166.66</v>
      </c>
      <c r="AA2171" s="3">
        <v>-47</v>
      </c>
      <c r="AB2171" s="5">
        <v>-101833.02</v>
      </c>
      <c r="AC2171" s="1">
        <v>2166.66</v>
      </c>
      <c r="AD2171">
        <v>-47</v>
      </c>
      <c r="AE2171" s="1">
        <v>-101833.02</v>
      </c>
      <c r="AF2171">
        <v>0</v>
      </c>
      <c r="AJ2171" s="1">
        <v>2166.66</v>
      </c>
      <c r="AK2171" s="1">
        <v>2166.66</v>
      </c>
      <c r="AL2171" s="1">
        <v>2166.66</v>
      </c>
      <c r="AM2171" s="1">
        <v>2166.66</v>
      </c>
      <c r="AN2171" s="1">
        <v>2166.66</v>
      </c>
      <c r="AO2171" s="1">
        <v>2166.66</v>
      </c>
      <c r="AP2171" s="2">
        <v>42831</v>
      </c>
      <c r="AQ2171" t="s">
        <v>72</v>
      </c>
      <c r="AR2171" t="s">
        <v>72</v>
      </c>
      <c r="AS2171">
        <v>145</v>
      </c>
      <c r="AT2171" s="4">
        <v>42765</v>
      </c>
      <c r="AV2171">
        <v>145</v>
      </c>
      <c r="AW2171" s="4">
        <v>42765</v>
      </c>
      <c r="BD2171">
        <v>0</v>
      </c>
      <c r="BN2171" t="s">
        <v>74</v>
      </c>
    </row>
    <row r="2172" spans="1:66">
      <c r="A2172">
        <v>106285</v>
      </c>
      <c r="B2172" t="s">
        <v>449</v>
      </c>
      <c r="C2172" s="1">
        <v>43500101</v>
      </c>
      <c r="D2172" t="s">
        <v>98</v>
      </c>
      <c r="H2172" t="str">
        <f>"PNCYLN80M56A783V"</f>
        <v>PNCYLN80M56A783V</v>
      </c>
      <c r="I2172" t="str">
        <f>"01561270628"</f>
        <v>01561270628</v>
      </c>
      <c r="K2172" t="str">
        <f>""</f>
        <v/>
      </c>
      <c r="M2172" t="s">
        <v>68</v>
      </c>
      <c r="N2172" t="str">
        <f t="shared" si="282"/>
        <v>ALTPRO</v>
      </c>
      <c r="O2172" t="s">
        <v>116</v>
      </c>
      <c r="P2172" t="s">
        <v>75</v>
      </c>
      <c r="Q2172">
        <v>2017</v>
      </c>
      <c r="R2172" s="4">
        <v>42795</v>
      </c>
      <c r="S2172" s="2">
        <v>42795</v>
      </c>
      <c r="T2172" s="2">
        <v>42795</v>
      </c>
      <c r="U2172" s="4">
        <v>42855</v>
      </c>
      <c r="V2172" t="s">
        <v>71</v>
      </c>
      <c r="W2172" t="str">
        <f>"                11/E"</f>
        <v xml:space="preserve">                11/E</v>
      </c>
      <c r="X2172" s="1">
        <v>2166.66</v>
      </c>
      <c r="Y2172">
        <v>0</v>
      </c>
      <c r="Z2172" s="5">
        <v>2166.66</v>
      </c>
      <c r="AA2172" s="3">
        <v>-46</v>
      </c>
      <c r="AB2172" s="5">
        <v>-99666.36</v>
      </c>
      <c r="AC2172" s="1">
        <v>2166.66</v>
      </c>
      <c r="AD2172">
        <v>-46</v>
      </c>
      <c r="AE2172" s="1">
        <v>-99666.36</v>
      </c>
      <c r="AF2172">
        <v>0</v>
      </c>
      <c r="AJ2172" s="1">
        <v>2166.66</v>
      </c>
      <c r="AK2172" s="1">
        <v>2166.66</v>
      </c>
      <c r="AL2172" s="1">
        <v>2166.66</v>
      </c>
      <c r="AM2172" s="1">
        <v>2166.66</v>
      </c>
      <c r="AN2172" s="1">
        <v>2166.66</v>
      </c>
      <c r="AO2172" s="1">
        <v>2166.66</v>
      </c>
      <c r="AP2172" s="2">
        <v>42831</v>
      </c>
      <c r="AQ2172" t="s">
        <v>72</v>
      </c>
      <c r="AR2172" t="s">
        <v>72</v>
      </c>
      <c r="AS2172">
        <v>767</v>
      </c>
      <c r="AT2172" s="4">
        <v>42809</v>
      </c>
      <c r="AV2172">
        <v>767</v>
      </c>
      <c r="AW2172" s="4">
        <v>42809</v>
      </c>
      <c r="BD2172">
        <v>0</v>
      </c>
      <c r="BN2172" t="s">
        <v>74</v>
      </c>
    </row>
    <row r="2173" spans="1:66">
      <c r="A2173">
        <v>106288</v>
      </c>
      <c r="B2173" t="s">
        <v>450</v>
      </c>
      <c r="C2173" s="1">
        <v>43300101</v>
      </c>
      <c r="D2173" t="s">
        <v>67</v>
      </c>
      <c r="H2173" t="str">
        <f>"04842170013"</f>
        <v>04842170013</v>
      </c>
      <c r="I2173" t="str">
        <f>"04842170013"</f>
        <v>04842170013</v>
      </c>
      <c r="K2173" t="str">
        <f>""</f>
        <v/>
      </c>
      <c r="M2173" t="s">
        <v>68</v>
      </c>
      <c r="N2173" t="str">
        <f>"FOR"</f>
        <v>FOR</v>
      </c>
      <c r="O2173" t="s">
        <v>69</v>
      </c>
      <c r="P2173" t="s">
        <v>75</v>
      </c>
      <c r="Q2173">
        <v>2015</v>
      </c>
      <c r="R2173" s="4">
        <v>42269</v>
      </c>
      <c r="S2173" s="2">
        <v>42272</v>
      </c>
      <c r="T2173" s="2">
        <v>42269</v>
      </c>
      <c r="U2173" s="4">
        <v>42329</v>
      </c>
      <c r="V2173" t="s">
        <v>71</v>
      </c>
      <c r="W2173" t="str">
        <f>"           E/12/2015"</f>
        <v xml:space="preserve">           E/12/2015</v>
      </c>
      <c r="X2173" s="1">
        <v>101221</v>
      </c>
      <c r="Y2173">
        <v>0</v>
      </c>
      <c r="Z2173" s="5">
        <v>82968.03</v>
      </c>
      <c r="AA2173" s="3">
        <v>444</v>
      </c>
      <c r="AB2173" s="5">
        <v>36837805.32</v>
      </c>
      <c r="AC2173" s="1">
        <v>82968.03</v>
      </c>
      <c r="AD2173">
        <v>444</v>
      </c>
      <c r="AE2173" s="1">
        <v>36837805.32</v>
      </c>
      <c r="AF2173">
        <v>0</v>
      </c>
      <c r="AJ2173">
        <v>0</v>
      </c>
      <c r="AK2173">
        <v>0</v>
      </c>
      <c r="AL2173">
        <v>0</v>
      </c>
      <c r="AM2173">
        <v>0</v>
      </c>
      <c r="AN2173">
        <v>0</v>
      </c>
      <c r="AO2173">
        <v>0</v>
      </c>
      <c r="AP2173" s="2">
        <v>42831</v>
      </c>
      <c r="AQ2173" t="s">
        <v>72</v>
      </c>
      <c r="AR2173" t="s">
        <v>72</v>
      </c>
      <c r="AS2173">
        <v>310</v>
      </c>
      <c r="AT2173" s="4">
        <v>42773</v>
      </c>
      <c r="AU2173" t="s">
        <v>73</v>
      </c>
      <c r="AV2173">
        <v>310</v>
      </c>
      <c r="AW2173" s="4">
        <v>42773</v>
      </c>
      <c r="BD2173">
        <v>0</v>
      </c>
      <c r="BN2173" t="s">
        <v>74</v>
      </c>
    </row>
    <row r="2174" spans="1:66">
      <c r="A2174">
        <v>106288</v>
      </c>
      <c r="B2174" t="s">
        <v>450</v>
      </c>
      <c r="C2174" s="1">
        <v>43300101</v>
      </c>
      <c r="D2174" t="s">
        <v>67</v>
      </c>
      <c r="H2174" t="str">
        <f>"04842170013"</f>
        <v>04842170013</v>
      </c>
      <c r="I2174" t="str">
        <f>"04842170013"</f>
        <v>04842170013</v>
      </c>
      <c r="K2174" t="str">
        <f>""</f>
        <v/>
      </c>
      <c r="M2174" t="s">
        <v>68</v>
      </c>
      <c r="N2174" t="str">
        <f>"FOR"</f>
        <v>FOR</v>
      </c>
      <c r="O2174" t="s">
        <v>69</v>
      </c>
      <c r="P2174" t="s">
        <v>75</v>
      </c>
      <c r="Q2174">
        <v>2016</v>
      </c>
      <c r="R2174" s="4">
        <v>42570</v>
      </c>
      <c r="S2174" s="2">
        <v>42577</v>
      </c>
      <c r="T2174" s="2">
        <v>42570</v>
      </c>
      <c r="U2174" s="4">
        <v>42630</v>
      </c>
      <c r="V2174" t="s">
        <v>71</v>
      </c>
      <c r="W2174" t="str">
        <f>"           E/19/2016"</f>
        <v xml:space="preserve">           E/19/2016</v>
      </c>
      <c r="X2174" s="1">
        <v>9184.7900000000009</v>
      </c>
      <c r="Y2174">
        <v>0</v>
      </c>
      <c r="Z2174" s="5">
        <v>3346.74</v>
      </c>
      <c r="AA2174" s="3">
        <v>143</v>
      </c>
      <c r="AB2174" s="5">
        <v>478583.82</v>
      </c>
      <c r="AC2174" s="1">
        <v>3346.74</v>
      </c>
      <c r="AD2174">
        <v>143</v>
      </c>
      <c r="AE2174" s="1">
        <v>478583.82</v>
      </c>
      <c r="AF2174" s="1">
        <v>4181.78</v>
      </c>
      <c r="AJ2174">
        <v>0</v>
      </c>
      <c r="AK2174">
        <v>0</v>
      </c>
      <c r="AL2174">
        <v>0</v>
      </c>
      <c r="AM2174">
        <v>0</v>
      </c>
      <c r="AN2174">
        <v>0</v>
      </c>
      <c r="AO2174">
        <v>0</v>
      </c>
      <c r="AP2174" s="2">
        <v>42831</v>
      </c>
      <c r="AQ2174" t="s">
        <v>72</v>
      </c>
      <c r="AR2174" t="s">
        <v>72</v>
      </c>
      <c r="AS2174">
        <v>310</v>
      </c>
      <c r="AT2174" s="4">
        <v>42773</v>
      </c>
      <c r="AU2174" t="s">
        <v>73</v>
      </c>
      <c r="AV2174">
        <v>310</v>
      </c>
      <c r="AW2174" s="4">
        <v>42773</v>
      </c>
      <c r="BD2174" s="1">
        <v>4181.78</v>
      </c>
      <c r="BN2174" t="s">
        <v>74</v>
      </c>
    </row>
    <row r="2175" spans="1:66">
      <c r="A2175">
        <v>106293</v>
      </c>
      <c r="B2175" t="s">
        <v>451</v>
      </c>
      <c r="C2175" s="1">
        <v>43300101</v>
      </c>
      <c r="D2175" t="s">
        <v>67</v>
      </c>
      <c r="H2175" t="str">
        <f>"03526561216"</f>
        <v>03526561216</v>
      </c>
      <c r="I2175" t="str">
        <f>"03526561216"</f>
        <v>03526561216</v>
      </c>
      <c r="K2175" t="str">
        <f>""</f>
        <v/>
      </c>
      <c r="M2175" t="s">
        <v>68</v>
      </c>
      <c r="N2175" t="str">
        <f>"FOR"</f>
        <v>FOR</v>
      </c>
      <c r="O2175" t="s">
        <v>69</v>
      </c>
      <c r="P2175" t="s">
        <v>75</v>
      </c>
      <c r="Q2175">
        <v>2016</v>
      </c>
      <c r="R2175" s="4">
        <v>42479</v>
      </c>
      <c r="S2175" s="2">
        <v>42481</v>
      </c>
      <c r="T2175" s="2">
        <v>42480</v>
      </c>
      <c r="U2175" s="4">
        <v>42540</v>
      </c>
      <c r="V2175" t="s">
        <v>71</v>
      </c>
      <c r="W2175" t="str">
        <f>"              160288"</f>
        <v xml:space="preserve">              160288</v>
      </c>
      <c r="X2175" s="1">
        <v>2562</v>
      </c>
      <c r="Y2175">
        <v>0</v>
      </c>
      <c r="Z2175" s="5">
        <v>2100</v>
      </c>
      <c r="AA2175" s="3">
        <v>235</v>
      </c>
      <c r="AB2175" s="5">
        <v>493500</v>
      </c>
      <c r="AC2175" s="1">
        <v>2100</v>
      </c>
      <c r="AD2175">
        <v>235</v>
      </c>
      <c r="AE2175" s="1">
        <v>493500</v>
      </c>
      <c r="AF2175">
        <v>0</v>
      </c>
      <c r="AJ2175">
        <v>0</v>
      </c>
      <c r="AK2175">
        <v>0</v>
      </c>
      <c r="AL2175">
        <v>0</v>
      </c>
      <c r="AM2175">
        <v>0</v>
      </c>
      <c r="AN2175">
        <v>0</v>
      </c>
      <c r="AO2175">
        <v>0</v>
      </c>
      <c r="AP2175" s="2">
        <v>42831</v>
      </c>
      <c r="AQ2175" t="s">
        <v>72</v>
      </c>
      <c r="AR2175" t="s">
        <v>72</v>
      </c>
      <c r="AS2175">
        <v>380</v>
      </c>
      <c r="AT2175" s="4">
        <v>42775</v>
      </c>
      <c r="AU2175" t="s">
        <v>73</v>
      </c>
      <c r="AV2175">
        <v>380</v>
      </c>
      <c r="AW2175" s="4">
        <v>42775</v>
      </c>
      <c r="BD2175">
        <v>0</v>
      </c>
      <c r="BN2175" t="s">
        <v>74</v>
      </c>
    </row>
    <row r="2176" spans="1:66" hidden="1">
      <c r="A2176">
        <v>106295</v>
      </c>
      <c r="B2176" t="s">
        <v>452</v>
      </c>
      <c r="C2176" s="1">
        <v>43500101</v>
      </c>
      <c r="D2176" t="s">
        <v>98</v>
      </c>
      <c r="H2176" t="str">
        <f t="shared" ref="H2176:I2178" si="283">"02402101204"</f>
        <v>02402101204</v>
      </c>
      <c r="I2176" t="str">
        <f t="shared" si="283"/>
        <v>02402101204</v>
      </c>
      <c r="K2176" t="str">
        <f>""</f>
        <v/>
      </c>
      <c r="M2176" t="s">
        <v>68</v>
      </c>
      <c r="N2176" t="str">
        <f>"ALT"</f>
        <v>ALT</v>
      </c>
      <c r="O2176" t="s">
        <v>99</v>
      </c>
      <c r="P2176" t="s">
        <v>82</v>
      </c>
      <c r="Q2176">
        <v>2017</v>
      </c>
      <c r="R2176" s="4">
        <v>42755</v>
      </c>
      <c r="S2176" s="2">
        <v>42755</v>
      </c>
      <c r="T2176" s="2">
        <v>42755</v>
      </c>
      <c r="U2176" s="4">
        <v>42815</v>
      </c>
      <c r="V2176" t="s">
        <v>71</v>
      </c>
      <c r="W2176" t="str">
        <f>"                0120"</f>
        <v xml:space="preserve">                0120</v>
      </c>
      <c r="X2176">
        <v>0</v>
      </c>
      <c r="Y2176">
        <v>850</v>
      </c>
      <c r="Z2176" s="3">
        <v>850</v>
      </c>
      <c r="AA2176" s="3">
        <v>-57</v>
      </c>
      <c r="AB2176" s="5">
        <v>-48450</v>
      </c>
      <c r="AC2176">
        <v>850</v>
      </c>
      <c r="AD2176">
        <v>-57</v>
      </c>
      <c r="AE2176" s="1">
        <v>-48450</v>
      </c>
      <c r="AF2176">
        <v>0</v>
      </c>
      <c r="AJ2176">
        <v>850</v>
      </c>
      <c r="AK2176">
        <v>850</v>
      </c>
      <c r="AL2176">
        <v>850</v>
      </c>
      <c r="AM2176">
        <v>850</v>
      </c>
      <c r="AN2176">
        <v>850</v>
      </c>
      <c r="AO2176">
        <v>850</v>
      </c>
      <c r="AP2176" s="2">
        <v>42831</v>
      </c>
      <c r="AQ2176" t="s">
        <v>72</v>
      </c>
      <c r="AR2176" t="s">
        <v>72</v>
      </c>
      <c r="AS2176">
        <v>76</v>
      </c>
      <c r="AT2176" s="4">
        <v>42758</v>
      </c>
      <c r="AV2176">
        <v>76</v>
      </c>
      <c r="AW2176" s="4">
        <v>42758</v>
      </c>
      <c r="BD2176">
        <v>0</v>
      </c>
      <c r="BN2176" t="s">
        <v>74</v>
      </c>
    </row>
    <row r="2177" spans="1:66" hidden="1">
      <c r="A2177">
        <v>106295</v>
      </c>
      <c r="B2177" t="s">
        <v>452</v>
      </c>
      <c r="C2177" s="1">
        <v>43500101</v>
      </c>
      <c r="D2177" t="s">
        <v>98</v>
      </c>
      <c r="H2177" t="str">
        <f t="shared" si="283"/>
        <v>02402101204</v>
      </c>
      <c r="I2177" t="str">
        <f t="shared" si="283"/>
        <v>02402101204</v>
      </c>
      <c r="K2177" t="str">
        <f>""</f>
        <v/>
      </c>
      <c r="M2177" t="s">
        <v>68</v>
      </c>
      <c r="N2177" t="str">
        <f>"ALT"</f>
        <v>ALT</v>
      </c>
      <c r="O2177" t="s">
        <v>99</v>
      </c>
      <c r="P2177" t="s">
        <v>83</v>
      </c>
      <c r="Q2177">
        <v>2017</v>
      </c>
      <c r="R2177" s="4">
        <v>42786</v>
      </c>
      <c r="S2177" s="2">
        <v>42787</v>
      </c>
      <c r="T2177" s="2">
        <v>42787</v>
      </c>
      <c r="U2177" s="4">
        <v>42847</v>
      </c>
      <c r="V2177" t="s">
        <v>71</v>
      </c>
      <c r="W2177" t="str">
        <f>"                0220"</f>
        <v xml:space="preserve">                0220</v>
      </c>
      <c r="X2177">
        <v>0</v>
      </c>
      <c r="Y2177">
        <v>850</v>
      </c>
      <c r="Z2177" s="3">
        <v>850</v>
      </c>
      <c r="AA2177" s="3">
        <v>-60</v>
      </c>
      <c r="AB2177" s="5">
        <v>-51000</v>
      </c>
      <c r="AC2177">
        <v>850</v>
      </c>
      <c r="AD2177">
        <v>-60</v>
      </c>
      <c r="AE2177" s="1">
        <v>-51000</v>
      </c>
      <c r="AF2177">
        <v>0</v>
      </c>
      <c r="AJ2177">
        <v>850</v>
      </c>
      <c r="AK2177">
        <v>850</v>
      </c>
      <c r="AL2177">
        <v>850</v>
      </c>
      <c r="AM2177">
        <v>850</v>
      </c>
      <c r="AN2177">
        <v>850</v>
      </c>
      <c r="AO2177">
        <v>850</v>
      </c>
      <c r="AP2177" s="2">
        <v>42831</v>
      </c>
      <c r="AQ2177" t="s">
        <v>72</v>
      </c>
      <c r="AR2177" t="s">
        <v>72</v>
      </c>
      <c r="AS2177">
        <v>556</v>
      </c>
      <c r="AT2177" s="4">
        <v>42787</v>
      </c>
      <c r="AV2177">
        <v>556</v>
      </c>
      <c r="AW2177" s="4">
        <v>42787</v>
      </c>
      <c r="BD2177">
        <v>0</v>
      </c>
      <c r="BN2177" t="s">
        <v>74</v>
      </c>
    </row>
    <row r="2178" spans="1:66" hidden="1">
      <c r="A2178">
        <v>106295</v>
      </c>
      <c r="B2178" t="s">
        <v>452</v>
      </c>
      <c r="C2178" s="1">
        <v>43500101</v>
      </c>
      <c r="D2178" t="s">
        <v>98</v>
      </c>
      <c r="H2178" t="str">
        <f t="shared" si="283"/>
        <v>02402101204</v>
      </c>
      <c r="I2178" t="str">
        <f t="shared" si="283"/>
        <v>02402101204</v>
      </c>
      <c r="K2178" t="str">
        <f>""</f>
        <v/>
      </c>
      <c r="M2178" t="s">
        <v>68</v>
      </c>
      <c r="N2178" t="str">
        <f>"ALT"</f>
        <v>ALT</v>
      </c>
      <c r="O2178" t="s">
        <v>99</v>
      </c>
      <c r="P2178" t="s">
        <v>84</v>
      </c>
      <c r="Q2178">
        <v>2017</v>
      </c>
      <c r="R2178" s="4">
        <v>42815</v>
      </c>
      <c r="S2178" s="2">
        <v>42815</v>
      </c>
      <c r="T2178" s="2">
        <v>42815</v>
      </c>
      <c r="U2178" s="4">
        <v>42875</v>
      </c>
      <c r="V2178" t="s">
        <v>71</v>
      </c>
      <c r="W2178" t="str">
        <f>"                0321"</f>
        <v xml:space="preserve">                0321</v>
      </c>
      <c r="X2178">
        <v>0</v>
      </c>
      <c r="Y2178">
        <v>850</v>
      </c>
      <c r="Z2178" s="3">
        <v>850</v>
      </c>
      <c r="AA2178" s="3">
        <v>-60</v>
      </c>
      <c r="AB2178" s="5">
        <v>-51000</v>
      </c>
      <c r="AC2178">
        <v>850</v>
      </c>
      <c r="AD2178">
        <v>-60</v>
      </c>
      <c r="AE2178" s="1">
        <v>-51000</v>
      </c>
      <c r="AF2178">
        <v>0</v>
      </c>
      <c r="AJ2178">
        <v>850</v>
      </c>
      <c r="AK2178">
        <v>850</v>
      </c>
      <c r="AL2178">
        <v>850</v>
      </c>
      <c r="AM2178">
        <v>850</v>
      </c>
      <c r="AN2178">
        <v>850</v>
      </c>
      <c r="AO2178">
        <v>850</v>
      </c>
      <c r="AP2178" s="2">
        <v>42831</v>
      </c>
      <c r="AQ2178" t="s">
        <v>72</v>
      </c>
      <c r="AR2178" t="s">
        <v>72</v>
      </c>
      <c r="AS2178">
        <v>853</v>
      </c>
      <c r="AT2178" s="4">
        <v>42815</v>
      </c>
      <c r="AV2178">
        <v>853</v>
      </c>
      <c r="AW2178" s="4">
        <v>42815</v>
      </c>
      <c r="BD2178">
        <v>0</v>
      </c>
      <c r="BN2178" t="s">
        <v>74</v>
      </c>
    </row>
    <row r="2179" spans="1:66">
      <c r="A2179">
        <v>106298</v>
      </c>
      <c r="B2179" t="s">
        <v>453</v>
      </c>
      <c r="C2179" s="1">
        <v>43500101</v>
      </c>
      <c r="D2179" t="s">
        <v>98</v>
      </c>
      <c r="H2179" t="str">
        <f>"GDCGRG72E08E919H"</f>
        <v>GDCGRG72E08E919H</v>
      </c>
      <c r="I2179" t="str">
        <f>"05074110650"</f>
        <v>05074110650</v>
      </c>
      <c r="K2179" t="str">
        <f>""</f>
        <v/>
      </c>
      <c r="M2179" t="s">
        <v>68</v>
      </c>
      <c r="N2179" t="str">
        <f t="shared" ref="N2179:N2190" si="284">"ALTPRO"</f>
        <v>ALTPRO</v>
      </c>
      <c r="O2179" t="s">
        <v>116</v>
      </c>
      <c r="P2179" t="s">
        <v>75</v>
      </c>
      <c r="Q2179">
        <v>2017</v>
      </c>
      <c r="R2179" s="4">
        <v>42744</v>
      </c>
      <c r="S2179" s="2">
        <v>42747</v>
      </c>
      <c r="T2179" s="2">
        <v>42744</v>
      </c>
      <c r="U2179" s="4">
        <v>42804</v>
      </c>
      <c r="V2179" t="s">
        <v>71</v>
      </c>
      <c r="W2179" t="str">
        <f>"         FATTPA 1_17"</f>
        <v xml:space="preserve">         FATTPA 1_17</v>
      </c>
      <c r="X2179" s="1">
        <v>2335.48</v>
      </c>
      <c r="Y2179">
        <v>-467.1</v>
      </c>
      <c r="Z2179" s="5">
        <v>1868.38</v>
      </c>
      <c r="AA2179" s="3">
        <v>-39</v>
      </c>
      <c r="AB2179" s="5">
        <v>-72866.820000000007</v>
      </c>
      <c r="AC2179" s="1">
        <v>1868.38</v>
      </c>
      <c r="AD2179">
        <v>-39</v>
      </c>
      <c r="AE2179" s="1">
        <v>-72866.820000000007</v>
      </c>
      <c r="AF2179">
        <v>0</v>
      </c>
      <c r="AJ2179">
        <v>-467.1</v>
      </c>
      <c r="AK2179" s="1">
        <v>1868.38</v>
      </c>
      <c r="AL2179" s="1">
        <v>1868.38</v>
      </c>
      <c r="AM2179">
        <v>-467.1</v>
      </c>
      <c r="AN2179" s="1">
        <v>1868.38</v>
      </c>
      <c r="AO2179" s="1">
        <v>1868.38</v>
      </c>
      <c r="AP2179" s="2">
        <v>42831</v>
      </c>
      <c r="AQ2179" t="s">
        <v>72</v>
      </c>
      <c r="AR2179" t="s">
        <v>72</v>
      </c>
      <c r="AS2179">
        <v>122</v>
      </c>
      <c r="AT2179" s="4">
        <v>42765</v>
      </c>
      <c r="AV2179">
        <v>122</v>
      </c>
      <c r="AW2179" s="4">
        <v>42765</v>
      </c>
      <c r="BD2179">
        <v>0</v>
      </c>
      <c r="BN2179" t="s">
        <v>74</v>
      </c>
    </row>
    <row r="2180" spans="1:66">
      <c r="A2180">
        <v>106298</v>
      </c>
      <c r="B2180" t="s">
        <v>453</v>
      </c>
      <c r="C2180" s="1">
        <v>43500101</v>
      </c>
      <c r="D2180" t="s">
        <v>98</v>
      </c>
      <c r="H2180" t="str">
        <f>"GDCGRG72E08E919H"</f>
        <v>GDCGRG72E08E919H</v>
      </c>
      <c r="I2180" t="str">
        <f>"05074110650"</f>
        <v>05074110650</v>
      </c>
      <c r="K2180" t="str">
        <f>""</f>
        <v/>
      </c>
      <c r="M2180" t="s">
        <v>68</v>
      </c>
      <c r="N2180" t="str">
        <f t="shared" si="284"/>
        <v>ALTPRO</v>
      </c>
      <c r="O2180" t="s">
        <v>116</v>
      </c>
      <c r="P2180" t="s">
        <v>75</v>
      </c>
      <c r="Q2180">
        <v>2017</v>
      </c>
      <c r="R2180" s="4">
        <v>42781</v>
      </c>
      <c r="S2180" s="2">
        <v>42781</v>
      </c>
      <c r="T2180" s="2">
        <v>42781</v>
      </c>
      <c r="U2180" s="4">
        <v>42841</v>
      </c>
      <c r="V2180" t="s">
        <v>71</v>
      </c>
      <c r="W2180" t="str">
        <f>"         FATTPA 2_17"</f>
        <v xml:space="preserve">         FATTPA 2_17</v>
      </c>
      <c r="X2180" s="1">
        <v>2247.6799999999998</v>
      </c>
      <c r="Y2180">
        <v>-449.54</v>
      </c>
      <c r="Z2180" s="5">
        <v>1798.14</v>
      </c>
      <c r="AA2180" s="3">
        <v>-59</v>
      </c>
      <c r="AB2180" s="5">
        <v>-106090.26</v>
      </c>
      <c r="AC2180" s="1">
        <v>1798.14</v>
      </c>
      <c r="AD2180">
        <v>-59</v>
      </c>
      <c r="AE2180" s="1">
        <v>-106090.26</v>
      </c>
      <c r="AF2180">
        <v>0</v>
      </c>
      <c r="AJ2180" s="1">
        <v>1798.14</v>
      </c>
      <c r="AK2180" s="1">
        <v>1798.14</v>
      </c>
      <c r="AL2180" s="1">
        <v>1798.14</v>
      </c>
      <c r="AM2180" s="1">
        <v>1798.14</v>
      </c>
      <c r="AN2180" s="1">
        <v>1798.14</v>
      </c>
      <c r="AO2180" s="1">
        <v>1798.14</v>
      </c>
      <c r="AP2180" s="2">
        <v>42831</v>
      </c>
      <c r="AQ2180" t="s">
        <v>72</v>
      </c>
      <c r="AR2180" t="s">
        <v>72</v>
      </c>
      <c r="AS2180">
        <v>465</v>
      </c>
      <c r="AT2180" s="4">
        <v>42782</v>
      </c>
      <c r="AV2180">
        <v>465</v>
      </c>
      <c r="AW2180" s="4">
        <v>42782</v>
      </c>
      <c r="BD2180">
        <v>0</v>
      </c>
      <c r="BN2180" t="s">
        <v>74</v>
      </c>
    </row>
    <row r="2181" spans="1:66">
      <c r="A2181">
        <v>106298</v>
      </c>
      <c r="B2181" t="s">
        <v>453</v>
      </c>
      <c r="C2181" s="1">
        <v>43500101</v>
      </c>
      <c r="D2181" t="s">
        <v>98</v>
      </c>
      <c r="H2181" t="str">
        <f>"GDCGRG72E08E919H"</f>
        <v>GDCGRG72E08E919H</v>
      </c>
      <c r="I2181" t="str">
        <f>"05074110650"</f>
        <v>05074110650</v>
      </c>
      <c r="K2181" t="str">
        <f>""</f>
        <v/>
      </c>
      <c r="M2181" t="s">
        <v>68</v>
      </c>
      <c r="N2181" t="str">
        <f t="shared" si="284"/>
        <v>ALTPRO</v>
      </c>
      <c r="O2181" t="s">
        <v>116</v>
      </c>
      <c r="P2181" t="s">
        <v>75</v>
      </c>
      <c r="Q2181">
        <v>2017</v>
      </c>
      <c r="R2181" s="4">
        <v>42795</v>
      </c>
      <c r="S2181" s="2">
        <v>42796</v>
      </c>
      <c r="T2181" s="2">
        <v>42795</v>
      </c>
      <c r="U2181" s="4">
        <v>42855</v>
      </c>
      <c r="V2181" t="s">
        <v>71</v>
      </c>
      <c r="W2181" t="str">
        <f>"         FATTPA 3_17"</f>
        <v xml:space="preserve">         FATTPA 3_17</v>
      </c>
      <c r="X2181" s="1">
        <v>2247.6799999999998</v>
      </c>
      <c r="Y2181">
        <v>-449.54</v>
      </c>
      <c r="Z2181" s="5">
        <v>1798.14</v>
      </c>
      <c r="AA2181" s="3">
        <v>-59</v>
      </c>
      <c r="AB2181" s="5">
        <v>-106090.26</v>
      </c>
      <c r="AC2181" s="1">
        <v>1798.14</v>
      </c>
      <c r="AD2181">
        <v>-59</v>
      </c>
      <c r="AE2181" s="1">
        <v>-106090.26</v>
      </c>
      <c r="AF2181">
        <v>0</v>
      </c>
      <c r="AJ2181" s="1">
        <v>1798.14</v>
      </c>
      <c r="AK2181" s="1">
        <v>1798.14</v>
      </c>
      <c r="AL2181" s="1">
        <v>1798.14</v>
      </c>
      <c r="AM2181" s="1">
        <v>1798.14</v>
      </c>
      <c r="AN2181" s="1">
        <v>1798.14</v>
      </c>
      <c r="AO2181" s="1">
        <v>1798.14</v>
      </c>
      <c r="AP2181" s="2">
        <v>42831</v>
      </c>
      <c r="AQ2181" t="s">
        <v>72</v>
      </c>
      <c r="AR2181" t="s">
        <v>72</v>
      </c>
      <c r="AS2181">
        <v>695</v>
      </c>
      <c r="AT2181" s="4">
        <v>42796</v>
      </c>
      <c r="AV2181">
        <v>695</v>
      </c>
      <c r="AW2181" s="4">
        <v>42796</v>
      </c>
      <c r="BD2181">
        <v>0</v>
      </c>
      <c r="BN2181" t="s">
        <v>74</v>
      </c>
    </row>
    <row r="2182" spans="1:66">
      <c r="A2182">
        <v>106302</v>
      </c>
      <c r="B2182" t="s">
        <v>454</v>
      </c>
      <c r="C2182" s="1">
        <v>43500101</v>
      </c>
      <c r="D2182" t="s">
        <v>98</v>
      </c>
      <c r="H2182" t="str">
        <f>"FLPRST82L62A783N"</f>
        <v>FLPRST82L62A783N</v>
      </c>
      <c r="I2182" t="str">
        <f>"01472540622"</f>
        <v>01472540622</v>
      </c>
      <c r="K2182" t="str">
        <f>""</f>
        <v/>
      </c>
      <c r="M2182" t="s">
        <v>68</v>
      </c>
      <c r="N2182" t="str">
        <f t="shared" si="284"/>
        <v>ALTPRO</v>
      </c>
      <c r="O2182" t="s">
        <v>116</v>
      </c>
      <c r="P2182" t="s">
        <v>75</v>
      </c>
      <c r="Q2182">
        <v>2016</v>
      </c>
      <c r="R2182" s="4">
        <v>42650</v>
      </c>
      <c r="S2182" s="2">
        <v>42655</v>
      </c>
      <c r="T2182" s="2">
        <v>42650</v>
      </c>
      <c r="U2182" s="4">
        <v>42710</v>
      </c>
      <c r="V2182" t="s">
        <v>71</v>
      </c>
      <c r="W2182" t="str">
        <f>"        FATTPA 14_16"</f>
        <v xml:space="preserve">        FATTPA 14_16</v>
      </c>
      <c r="X2182">
        <v>416.66</v>
      </c>
      <c r="Y2182">
        <v>0</v>
      </c>
      <c r="Z2182" s="5">
        <v>416.66</v>
      </c>
      <c r="AA2182" s="3">
        <v>69</v>
      </c>
      <c r="AB2182" s="5">
        <v>28749.54</v>
      </c>
      <c r="AC2182">
        <v>416.66</v>
      </c>
      <c r="AD2182">
        <v>69</v>
      </c>
      <c r="AE2182" s="1">
        <v>28749.54</v>
      </c>
      <c r="AF2182">
        <v>0</v>
      </c>
      <c r="AJ2182">
        <v>0</v>
      </c>
      <c r="AK2182">
        <v>0</v>
      </c>
      <c r="AL2182">
        <v>0</v>
      </c>
      <c r="AM2182">
        <v>0</v>
      </c>
      <c r="AN2182">
        <v>0</v>
      </c>
      <c r="AO2182">
        <v>0</v>
      </c>
      <c r="AP2182" s="2">
        <v>42831</v>
      </c>
      <c r="AQ2182" t="s">
        <v>72</v>
      </c>
      <c r="AR2182" t="s">
        <v>72</v>
      </c>
      <c r="AS2182">
        <v>417</v>
      </c>
      <c r="AT2182" s="4">
        <v>42779</v>
      </c>
      <c r="AU2182" t="s">
        <v>73</v>
      </c>
      <c r="AV2182">
        <v>417</v>
      </c>
      <c r="AW2182" s="4">
        <v>42779</v>
      </c>
      <c r="BD2182">
        <v>0</v>
      </c>
      <c r="BN2182" t="s">
        <v>74</v>
      </c>
    </row>
    <row r="2183" spans="1:66">
      <c r="A2183">
        <v>106302</v>
      </c>
      <c r="B2183" t="s">
        <v>454</v>
      </c>
      <c r="C2183" s="1">
        <v>43500101</v>
      </c>
      <c r="D2183" t="s">
        <v>98</v>
      </c>
      <c r="H2183" t="str">
        <f>"FLPRST82L62A783N"</f>
        <v>FLPRST82L62A783N</v>
      </c>
      <c r="I2183" t="str">
        <f>"01472540622"</f>
        <v>01472540622</v>
      </c>
      <c r="K2183" t="str">
        <f>""</f>
        <v/>
      </c>
      <c r="M2183" t="s">
        <v>68</v>
      </c>
      <c r="N2183" t="str">
        <f t="shared" si="284"/>
        <v>ALTPRO</v>
      </c>
      <c r="O2183" t="s">
        <v>116</v>
      </c>
      <c r="P2183" t="s">
        <v>440</v>
      </c>
      <c r="Q2183">
        <v>2016</v>
      </c>
      <c r="R2183" s="4">
        <v>42671</v>
      </c>
      <c r="S2183" s="2">
        <v>42677</v>
      </c>
      <c r="T2183" s="2">
        <v>42671</v>
      </c>
      <c r="U2183" s="4">
        <v>42731</v>
      </c>
      <c r="V2183" t="s">
        <v>71</v>
      </c>
      <c r="W2183" t="str">
        <f>"        FATTPA 15_16"</f>
        <v xml:space="preserve">        FATTPA 15_16</v>
      </c>
      <c r="X2183">
        <v>-18.09</v>
      </c>
      <c r="Y2183">
        <v>0</v>
      </c>
      <c r="Z2183" s="5">
        <v>-18.09</v>
      </c>
      <c r="AA2183" s="3">
        <v>48</v>
      </c>
      <c r="AB2183" s="3">
        <v>-868.32</v>
      </c>
      <c r="AC2183">
        <v>-18.09</v>
      </c>
      <c r="AD2183">
        <v>48</v>
      </c>
      <c r="AE2183">
        <v>-868.32</v>
      </c>
      <c r="AF2183">
        <v>0</v>
      </c>
      <c r="AJ2183">
        <v>0</v>
      </c>
      <c r="AK2183">
        <v>0</v>
      </c>
      <c r="AL2183">
        <v>0</v>
      </c>
      <c r="AM2183">
        <v>0</v>
      </c>
      <c r="AN2183">
        <v>0</v>
      </c>
      <c r="AO2183">
        <v>0</v>
      </c>
      <c r="AP2183" s="2">
        <v>42831</v>
      </c>
      <c r="AQ2183" t="s">
        <v>72</v>
      </c>
      <c r="AR2183" t="s">
        <v>72</v>
      </c>
      <c r="AS2183">
        <v>417</v>
      </c>
      <c r="AT2183" s="4">
        <v>42779</v>
      </c>
      <c r="AU2183" t="s">
        <v>73</v>
      </c>
      <c r="AV2183">
        <v>417</v>
      </c>
      <c r="AW2183" s="4">
        <v>42779</v>
      </c>
      <c r="BD2183">
        <v>0</v>
      </c>
      <c r="BN2183" t="s">
        <v>74</v>
      </c>
    </row>
    <row r="2184" spans="1:66">
      <c r="A2184">
        <v>106315</v>
      </c>
      <c r="B2184" t="s">
        <v>455</v>
      </c>
      <c r="C2184" s="1">
        <v>43500101</v>
      </c>
      <c r="D2184" t="s">
        <v>98</v>
      </c>
      <c r="H2184" t="str">
        <f>"TRNGPP73S45A783A"</f>
        <v>TRNGPP73S45A783A</v>
      </c>
      <c r="I2184" t="str">
        <f>"01572840625"</f>
        <v>01572840625</v>
      </c>
      <c r="K2184" t="str">
        <f>""</f>
        <v/>
      </c>
      <c r="M2184" t="s">
        <v>68</v>
      </c>
      <c r="N2184" t="str">
        <f t="shared" si="284"/>
        <v>ALTPRO</v>
      </c>
      <c r="O2184" t="s">
        <v>116</v>
      </c>
      <c r="P2184" t="s">
        <v>120</v>
      </c>
      <c r="Q2184">
        <v>2017</v>
      </c>
      <c r="R2184" s="4">
        <v>42744</v>
      </c>
      <c r="S2184" s="2">
        <v>42747</v>
      </c>
      <c r="T2184" s="2">
        <v>42744</v>
      </c>
      <c r="U2184" s="4">
        <v>42804</v>
      </c>
      <c r="V2184" t="s">
        <v>71</v>
      </c>
      <c r="W2184" t="str">
        <f>"      000001-2017-FE"</f>
        <v xml:space="preserve">      000001-2017-FE</v>
      </c>
      <c r="X2184" s="1">
        <v>2388.16</v>
      </c>
      <c r="Y2184">
        <v>0</v>
      </c>
      <c r="Z2184" s="5">
        <v>2388.16</v>
      </c>
      <c r="AA2184" s="3">
        <v>-39</v>
      </c>
      <c r="AB2184" s="5">
        <v>-93138.240000000005</v>
      </c>
      <c r="AC2184" s="1">
        <v>2388.16</v>
      </c>
      <c r="AD2184">
        <v>-39</v>
      </c>
      <c r="AE2184" s="1">
        <v>-93138.240000000005</v>
      </c>
      <c r="AF2184">
        <v>0</v>
      </c>
      <c r="AJ2184">
        <v>0</v>
      </c>
      <c r="AK2184" s="1">
        <v>2388.16</v>
      </c>
      <c r="AL2184" s="1">
        <v>2388.16</v>
      </c>
      <c r="AM2184">
        <v>0</v>
      </c>
      <c r="AN2184" s="1">
        <v>2388.16</v>
      </c>
      <c r="AO2184" s="1">
        <v>2388.16</v>
      </c>
      <c r="AP2184" s="2">
        <v>42831</v>
      </c>
      <c r="AQ2184" t="s">
        <v>72</v>
      </c>
      <c r="AR2184" t="s">
        <v>72</v>
      </c>
      <c r="AS2184">
        <v>135</v>
      </c>
      <c r="AT2184" s="4">
        <v>42765</v>
      </c>
      <c r="AV2184">
        <v>135</v>
      </c>
      <c r="AW2184" s="4">
        <v>42765</v>
      </c>
      <c r="BD2184">
        <v>0</v>
      </c>
      <c r="BN2184" t="s">
        <v>74</v>
      </c>
    </row>
    <row r="2185" spans="1:66">
      <c r="A2185">
        <v>106315</v>
      </c>
      <c r="B2185" t="s">
        <v>455</v>
      </c>
      <c r="C2185" s="1">
        <v>43500101</v>
      </c>
      <c r="D2185" t="s">
        <v>98</v>
      </c>
      <c r="H2185" t="str">
        <f>"TRNGPP73S45A783A"</f>
        <v>TRNGPP73S45A783A</v>
      </c>
      <c r="I2185" t="str">
        <f>"01572840625"</f>
        <v>01572840625</v>
      </c>
      <c r="K2185" t="str">
        <f>""</f>
        <v/>
      </c>
      <c r="M2185" t="s">
        <v>68</v>
      </c>
      <c r="N2185" t="str">
        <f t="shared" si="284"/>
        <v>ALTPRO</v>
      </c>
      <c r="O2185" t="s">
        <v>116</v>
      </c>
      <c r="P2185" t="s">
        <v>120</v>
      </c>
      <c r="Q2185">
        <v>2017</v>
      </c>
      <c r="R2185" s="4">
        <v>42779</v>
      </c>
      <c r="S2185" s="2">
        <v>42780</v>
      </c>
      <c r="T2185" s="2">
        <v>42779</v>
      </c>
      <c r="U2185" s="4">
        <v>42839</v>
      </c>
      <c r="V2185" t="s">
        <v>71</v>
      </c>
      <c r="W2185" t="str">
        <f>"      000002-2017-FE"</f>
        <v xml:space="preserve">      000002-2017-FE</v>
      </c>
      <c r="X2185" s="1">
        <v>2528.64</v>
      </c>
      <c r="Y2185">
        <v>0</v>
      </c>
      <c r="Z2185" s="5">
        <v>2528.64</v>
      </c>
      <c r="AA2185" s="3">
        <v>-58</v>
      </c>
      <c r="AB2185" s="5">
        <v>-146661.12</v>
      </c>
      <c r="AC2185" s="1">
        <v>2528.64</v>
      </c>
      <c r="AD2185">
        <v>-58</v>
      </c>
      <c r="AE2185" s="1">
        <v>-146661.12</v>
      </c>
      <c r="AF2185">
        <v>0</v>
      </c>
      <c r="AJ2185" s="1">
        <v>2528.64</v>
      </c>
      <c r="AK2185" s="1">
        <v>2528.64</v>
      </c>
      <c r="AL2185" s="1">
        <v>2528.64</v>
      </c>
      <c r="AM2185" s="1">
        <v>2528.64</v>
      </c>
      <c r="AN2185" s="1">
        <v>2528.64</v>
      </c>
      <c r="AO2185" s="1">
        <v>2528.64</v>
      </c>
      <c r="AP2185" s="2">
        <v>42831</v>
      </c>
      <c r="AQ2185" t="s">
        <v>72</v>
      </c>
      <c r="AR2185" t="s">
        <v>72</v>
      </c>
      <c r="AS2185">
        <v>445</v>
      </c>
      <c r="AT2185" s="4">
        <v>42781</v>
      </c>
      <c r="AV2185">
        <v>445</v>
      </c>
      <c r="AW2185" s="4">
        <v>42781</v>
      </c>
      <c r="BD2185">
        <v>0</v>
      </c>
      <c r="BN2185" t="s">
        <v>74</v>
      </c>
    </row>
    <row r="2186" spans="1:66">
      <c r="A2186">
        <v>106315</v>
      </c>
      <c r="B2186" t="s">
        <v>455</v>
      </c>
      <c r="C2186" s="1">
        <v>43500101</v>
      </c>
      <c r="D2186" t="s">
        <v>98</v>
      </c>
      <c r="H2186" t="str">
        <f>"TRNGPP73S45A783A"</f>
        <v>TRNGPP73S45A783A</v>
      </c>
      <c r="I2186" t="str">
        <f>"01572840625"</f>
        <v>01572840625</v>
      </c>
      <c r="K2186" t="str">
        <f>""</f>
        <v/>
      </c>
      <c r="M2186" t="s">
        <v>68</v>
      </c>
      <c r="N2186" t="str">
        <f t="shared" si="284"/>
        <v>ALTPRO</v>
      </c>
      <c r="O2186" t="s">
        <v>116</v>
      </c>
      <c r="P2186" t="s">
        <v>120</v>
      </c>
      <c r="Q2186">
        <v>2017</v>
      </c>
      <c r="R2186" s="4">
        <v>42801</v>
      </c>
      <c r="S2186" s="2">
        <v>42802</v>
      </c>
      <c r="T2186" s="2">
        <v>42801</v>
      </c>
      <c r="U2186" s="4">
        <v>42861</v>
      </c>
      <c r="V2186" t="s">
        <v>71</v>
      </c>
      <c r="W2186" t="str">
        <f>"      000003-2017-FE"</f>
        <v xml:space="preserve">      000003-2017-FE</v>
      </c>
      <c r="X2186" s="1">
        <v>2247.6799999999998</v>
      </c>
      <c r="Y2186">
        <v>0</v>
      </c>
      <c r="Z2186" s="5">
        <v>2247.6799999999998</v>
      </c>
      <c r="AA2186" s="3">
        <v>-58</v>
      </c>
      <c r="AB2186" s="5">
        <v>-130365.44</v>
      </c>
      <c r="AC2186" s="1">
        <v>2247.6799999999998</v>
      </c>
      <c r="AD2186">
        <v>-58</v>
      </c>
      <c r="AE2186" s="1">
        <v>-130365.44</v>
      </c>
      <c r="AF2186">
        <v>0</v>
      </c>
      <c r="AJ2186" s="1">
        <v>2247.6799999999998</v>
      </c>
      <c r="AK2186" s="1">
        <v>2247.6799999999998</v>
      </c>
      <c r="AL2186" s="1">
        <v>2247.6799999999998</v>
      </c>
      <c r="AM2186" s="1">
        <v>2247.6799999999998</v>
      </c>
      <c r="AN2186" s="1">
        <v>2247.6799999999998</v>
      </c>
      <c r="AO2186" s="1">
        <v>2247.6799999999998</v>
      </c>
      <c r="AP2186" s="2">
        <v>42831</v>
      </c>
      <c r="AQ2186" t="s">
        <v>72</v>
      </c>
      <c r="AR2186" t="s">
        <v>72</v>
      </c>
      <c r="AS2186">
        <v>751</v>
      </c>
      <c r="AT2186" s="4">
        <v>42803</v>
      </c>
      <c r="AV2186">
        <v>751</v>
      </c>
      <c r="AW2186" s="4">
        <v>42803</v>
      </c>
      <c r="BD2186">
        <v>0</v>
      </c>
      <c r="BN2186" t="s">
        <v>74</v>
      </c>
    </row>
    <row r="2187" spans="1:66">
      <c r="A2187">
        <v>106320</v>
      </c>
      <c r="B2187" t="s">
        <v>456</v>
      </c>
      <c r="C2187" s="1">
        <v>43500101</v>
      </c>
      <c r="D2187" t="s">
        <v>98</v>
      </c>
      <c r="H2187" t="str">
        <f>"CQVFBA75S07H703O"</f>
        <v>CQVFBA75S07H703O</v>
      </c>
      <c r="I2187" t="str">
        <f>"07718031219"</f>
        <v>07718031219</v>
      </c>
      <c r="K2187" t="str">
        <f>""</f>
        <v/>
      </c>
      <c r="M2187" t="s">
        <v>68</v>
      </c>
      <c r="N2187" t="str">
        <f t="shared" si="284"/>
        <v>ALTPRO</v>
      </c>
      <c r="O2187" t="s">
        <v>116</v>
      </c>
      <c r="P2187" t="s">
        <v>75</v>
      </c>
      <c r="Q2187">
        <v>2016</v>
      </c>
      <c r="R2187" s="4">
        <v>42723</v>
      </c>
      <c r="S2187" s="2">
        <v>42727</v>
      </c>
      <c r="T2187" s="2">
        <v>42725</v>
      </c>
      <c r="U2187" s="4">
        <v>42785</v>
      </c>
      <c r="V2187" t="s">
        <v>71</v>
      </c>
      <c r="W2187" t="str">
        <f>"                 3/E"</f>
        <v xml:space="preserve">                 3/E</v>
      </c>
      <c r="X2187" s="1">
        <v>13000</v>
      </c>
      <c r="Y2187">
        <v>0</v>
      </c>
      <c r="Z2187" s="5">
        <v>13000</v>
      </c>
      <c r="AA2187" s="3">
        <v>-39</v>
      </c>
      <c r="AB2187" s="5">
        <v>-507000</v>
      </c>
      <c r="AC2187" s="1">
        <v>13000</v>
      </c>
      <c r="AD2187">
        <v>-39</v>
      </c>
      <c r="AE2187" s="1">
        <v>-507000</v>
      </c>
      <c r="AF2187">
        <v>0</v>
      </c>
      <c r="AJ2187">
        <v>0</v>
      </c>
      <c r="AK2187">
        <v>0</v>
      </c>
      <c r="AL2187">
        <v>0</v>
      </c>
      <c r="AM2187">
        <v>0</v>
      </c>
      <c r="AN2187">
        <v>0</v>
      </c>
      <c r="AO2187">
        <v>0</v>
      </c>
      <c r="AP2187" s="2">
        <v>42831</v>
      </c>
      <c r="AQ2187" t="s">
        <v>72</v>
      </c>
      <c r="AR2187" t="s">
        <v>72</v>
      </c>
      <c r="AS2187">
        <v>1</v>
      </c>
      <c r="AT2187" s="4">
        <v>42746</v>
      </c>
      <c r="AV2187">
        <v>1</v>
      </c>
      <c r="AW2187" s="4">
        <v>42746</v>
      </c>
      <c r="BD2187">
        <v>0</v>
      </c>
      <c r="BN2187" t="s">
        <v>74</v>
      </c>
    </row>
    <row r="2188" spans="1:66">
      <c r="A2188">
        <v>106343</v>
      </c>
      <c r="B2188" t="s">
        <v>457</v>
      </c>
      <c r="C2188" s="1">
        <v>43500101</v>
      </c>
      <c r="D2188" t="s">
        <v>98</v>
      </c>
      <c r="H2188" t="str">
        <f>"TMTGLC82C29A783D"</f>
        <v>TMTGLC82C29A783D</v>
      </c>
      <c r="I2188" t="str">
        <f>"01636040626"</f>
        <v>01636040626</v>
      </c>
      <c r="K2188" t="str">
        <f>""</f>
        <v/>
      </c>
      <c r="M2188" t="s">
        <v>68</v>
      </c>
      <c r="N2188" t="str">
        <f t="shared" si="284"/>
        <v>ALTPRO</v>
      </c>
      <c r="O2188" t="s">
        <v>116</v>
      </c>
      <c r="P2188" t="s">
        <v>75</v>
      </c>
      <c r="Q2188">
        <v>2016</v>
      </c>
      <c r="R2188" s="4">
        <v>42717</v>
      </c>
      <c r="S2188" s="2">
        <v>42723</v>
      </c>
      <c r="T2188" s="2">
        <v>42717</v>
      </c>
      <c r="U2188" s="4">
        <v>42777</v>
      </c>
      <c r="V2188" t="s">
        <v>71</v>
      </c>
      <c r="W2188" t="str">
        <f>"        FATTPA 12_16"</f>
        <v xml:space="preserve">        FATTPA 12_16</v>
      </c>
      <c r="X2188" s="1">
        <v>1000</v>
      </c>
      <c r="Y2188">
        <v>0</v>
      </c>
      <c r="Z2188" s="5">
        <v>1000</v>
      </c>
      <c r="AA2188" s="3">
        <v>-12</v>
      </c>
      <c r="AB2188" s="5">
        <v>-12000</v>
      </c>
      <c r="AC2188" s="1">
        <v>1000</v>
      </c>
      <c r="AD2188">
        <v>-12</v>
      </c>
      <c r="AE2188" s="1">
        <v>-12000</v>
      </c>
      <c r="AF2188">
        <v>0</v>
      </c>
      <c r="AJ2188">
        <v>0</v>
      </c>
      <c r="AK2188">
        <v>0</v>
      </c>
      <c r="AL2188">
        <v>0</v>
      </c>
      <c r="AM2188">
        <v>0</v>
      </c>
      <c r="AN2188">
        <v>0</v>
      </c>
      <c r="AO2188">
        <v>0</v>
      </c>
      <c r="AP2188" s="2">
        <v>42831</v>
      </c>
      <c r="AQ2188" t="s">
        <v>72</v>
      </c>
      <c r="AR2188" t="s">
        <v>72</v>
      </c>
      <c r="AS2188">
        <v>139</v>
      </c>
      <c r="AT2188" s="4">
        <v>42765</v>
      </c>
      <c r="AV2188">
        <v>139</v>
      </c>
      <c r="AW2188" s="4">
        <v>42765</v>
      </c>
      <c r="BD2188">
        <v>0</v>
      </c>
      <c r="BN2188" t="s">
        <v>74</v>
      </c>
    </row>
    <row r="2189" spans="1:66">
      <c r="A2189">
        <v>106343</v>
      </c>
      <c r="B2189" t="s">
        <v>457</v>
      </c>
      <c r="C2189" s="1">
        <v>43500101</v>
      </c>
      <c r="D2189" t="s">
        <v>98</v>
      </c>
      <c r="H2189" t="str">
        <f>"TMTGLC82C29A783D"</f>
        <v>TMTGLC82C29A783D</v>
      </c>
      <c r="I2189" t="str">
        <f>"01636040626"</f>
        <v>01636040626</v>
      </c>
      <c r="K2189" t="str">
        <f>""</f>
        <v/>
      </c>
      <c r="M2189" t="s">
        <v>68</v>
      </c>
      <c r="N2189" t="str">
        <f t="shared" si="284"/>
        <v>ALTPRO</v>
      </c>
      <c r="O2189" t="s">
        <v>116</v>
      </c>
      <c r="P2189" t="s">
        <v>75</v>
      </c>
      <c r="Q2189">
        <v>2017</v>
      </c>
      <c r="R2189" s="4">
        <v>42759</v>
      </c>
      <c r="S2189" s="2">
        <v>42760</v>
      </c>
      <c r="T2189" s="2">
        <v>42759</v>
      </c>
      <c r="U2189" s="4">
        <v>42819</v>
      </c>
      <c r="V2189" t="s">
        <v>71</v>
      </c>
      <c r="W2189" t="str">
        <f>"         FATTPA 1_17"</f>
        <v xml:space="preserve">         FATTPA 1_17</v>
      </c>
      <c r="X2189">
        <v>500</v>
      </c>
      <c r="Y2189">
        <v>0</v>
      </c>
      <c r="Z2189" s="5">
        <v>500</v>
      </c>
      <c r="AA2189" s="3">
        <v>-45</v>
      </c>
      <c r="AB2189" s="5">
        <v>-22500</v>
      </c>
      <c r="AC2189">
        <v>500</v>
      </c>
      <c r="AD2189">
        <v>-45</v>
      </c>
      <c r="AE2189" s="1">
        <v>-22500</v>
      </c>
      <c r="AF2189">
        <v>0</v>
      </c>
      <c r="AJ2189">
        <v>500</v>
      </c>
      <c r="AK2189">
        <v>500</v>
      </c>
      <c r="AL2189">
        <v>500</v>
      </c>
      <c r="AM2189">
        <v>500</v>
      </c>
      <c r="AN2189">
        <v>500</v>
      </c>
      <c r="AO2189">
        <v>500</v>
      </c>
      <c r="AP2189" s="2">
        <v>42831</v>
      </c>
      <c r="AQ2189" t="s">
        <v>72</v>
      </c>
      <c r="AR2189" t="s">
        <v>72</v>
      </c>
      <c r="AS2189">
        <v>314</v>
      </c>
      <c r="AT2189" s="4">
        <v>42774</v>
      </c>
      <c r="AV2189">
        <v>314</v>
      </c>
      <c r="AW2189" s="4">
        <v>42774</v>
      </c>
      <c r="BD2189">
        <v>0</v>
      </c>
      <c r="BN2189" t="s">
        <v>74</v>
      </c>
    </row>
    <row r="2190" spans="1:66">
      <c r="A2190">
        <v>106343</v>
      </c>
      <c r="B2190" t="s">
        <v>457</v>
      </c>
      <c r="C2190" s="1">
        <v>43500101</v>
      </c>
      <c r="D2190" t="s">
        <v>98</v>
      </c>
      <c r="H2190" t="str">
        <f>"TMTGLC82C29A783D"</f>
        <v>TMTGLC82C29A783D</v>
      </c>
      <c r="I2190" t="str">
        <f>"01636040626"</f>
        <v>01636040626</v>
      </c>
      <c r="K2190" t="str">
        <f>""</f>
        <v/>
      </c>
      <c r="M2190" t="s">
        <v>68</v>
      </c>
      <c r="N2190" t="str">
        <f t="shared" si="284"/>
        <v>ALTPRO</v>
      </c>
      <c r="O2190" t="s">
        <v>116</v>
      </c>
      <c r="P2190" t="s">
        <v>75</v>
      </c>
      <c r="Q2190">
        <v>2017</v>
      </c>
      <c r="R2190" s="4">
        <v>42786</v>
      </c>
      <c r="S2190" s="2">
        <v>42786</v>
      </c>
      <c r="T2190" s="2">
        <v>42786</v>
      </c>
      <c r="U2190" s="4">
        <v>42846</v>
      </c>
      <c r="V2190" t="s">
        <v>71</v>
      </c>
      <c r="W2190" t="str">
        <f>"         FATTPA 2_17"</f>
        <v xml:space="preserve">         FATTPA 2_17</v>
      </c>
      <c r="X2190">
        <v>500</v>
      </c>
      <c r="Y2190">
        <v>0</v>
      </c>
      <c r="Z2190" s="5">
        <v>500</v>
      </c>
      <c r="AA2190" s="3">
        <v>-37</v>
      </c>
      <c r="AB2190" s="5">
        <v>-18500</v>
      </c>
      <c r="AC2190">
        <v>500</v>
      </c>
      <c r="AD2190">
        <v>-37</v>
      </c>
      <c r="AE2190" s="1">
        <v>-18500</v>
      </c>
      <c r="AF2190">
        <v>0</v>
      </c>
      <c r="AJ2190">
        <v>500</v>
      </c>
      <c r="AK2190">
        <v>500</v>
      </c>
      <c r="AL2190">
        <v>500</v>
      </c>
      <c r="AM2190">
        <v>500</v>
      </c>
      <c r="AN2190">
        <v>500</v>
      </c>
      <c r="AO2190">
        <v>500</v>
      </c>
      <c r="AP2190" s="2">
        <v>42831</v>
      </c>
      <c r="AQ2190" t="s">
        <v>72</v>
      </c>
      <c r="AR2190" t="s">
        <v>72</v>
      </c>
      <c r="AS2190">
        <v>766</v>
      </c>
      <c r="AT2190" s="4">
        <v>42809</v>
      </c>
      <c r="AV2190">
        <v>766</v>
      </c>
      <c r="AW2190" s="4">
        <v>42809</v>
      </c>
      <c r="BD2190">
        <v>0</v>
      </c>
      <c r="BN2190" t="s">
        <v>74</v>
      </c>
    </row>
    <row r="2191" spans="1:66">
      <c r="A2191">
        <v>106353</v>
      </c>
      <c r="B2191" t="s">
        <v>458</v>
      </c>
      <c r="C2191" s="1">
        <v>43500101</v>
      </c>
      <c r="D2191" t="s">
        <v>98</v>
      </c>
      <c r="H2191" t="str">
        <f>"95141450635"</f>
        <v>95141450635</v>
      </c>
      <c r="I2191" t="str">
        <f>""</f>
        <v/>
      </c>
      <c r="K2191" t="str">
        <f>""</f>
        <v/>
      </c>
      <c r="M2191" t="s">
        <v>68</v>
      </c>
      <c r="N2191" t="str">
        <f>"ALT"</f>
        <v>ALT</v>
      </c>
      <c r="O2191" t="s">
        <v>99</v>
      </c>
      <c r="P2191" t="s">
        <v>70</v>
      </c>
      <c r="Q2191">
        <v>2016</v>
      </c>
      <c r="R2191" s="4">
        <v>42579</v>
      </c>
      <c r="S2191" s="2">
        <v>42760</v>
      </c>
      <c r="T2191" s="2">
        <v>42760</v>
      </c>
      <c r="U2191" s="4">
        <v>42820</v>
      </c>
      <c r="V2191" t="s">
        <v>71</v>
      </c>
      <c r="W2191" t="str">
        <f>"             01/2016"</f>
        <v xml:space="preserve">             01/2016</v>
      </c>
      <c r="X2191" s="1">
        <v>8251.4500000000007</v>
      </c>
      <c r="Y2191">
        <v>0</v>
      </c>
      <c r="Z2191" s="5">
        <v>8251.4500000000007</v>
      </c>
      <c r="AA2191" s="3">
        <v>-54</v>
      </c>
      <c r="AB2191" s="5">
        <v>-445578.3</v>
      </c>
      <c r="AC2191" s="1">
        <v>8251.4500000000007</v>
      </c>
      <c r="AD2191">
        <v>-54</v>
      </c>
      <c r="AE2191" s="1">
        <v>-445578.3</v>
      </c>
      <c r="AF2191">
        <v>0</v>
      </c>
      <c r="AJ2191">
        <v>0</v>
      </c>
      <c r="AK2191" s="1">
        <v>8251.4500000000007</v>
      </c>
      <c r="AL2191">
        <v>0</v>
      </c>
      <c r="AM2191">
        <v>0</v>
      </c>
      <c r="AN2191" s="1">
        <v>8251.4500000000007</v>
      </c>
      <c r="AO2191">
        <v>0</v>
      </c>
      <c r="AP2191" s="2">
        <v>42831</v>
      </c>
      <c r="AQ2191" t="s">
        <v>72</v>
      </c>
      <c r="AR2191" t="s">
        <v>72</v>
      </c>
      <c r="AS2191">
        <v>165</v>
      </c>
      <c r="AT2191" s="4">
        <v>42766</v>
      </c>
      <c r="AV2191">
        <v>165</v>
      </c>
      <c r="AW2191" s="4">
        <v>42766</v>
      </c>
      <c r="BD2191">
        <v>0</v>
      </c>
      <c r="BN2191" t="s">
        <v>74</v>
      </c>
    </row>
    <row r="2192" spans="1:66">
      <c r="A2192">
        <v>106353</v>
      </c>
      <c r="B2192" t="s">
        <v>458</v>
      </c>
      <c r="C2192" s="1">
        <v>43500101</v>
      </c>
      <c r="D2192" t="s">
        <v>98</v>
      </c>
      <c r="H2192" t="str">
        <f>"95141450635"</f>
        <v>95141450635</v>
      </c>
      <c r="I2192" t="str">
        <f>""</f>
        <v/>
      </c>
      <c r="K2192" t="str">
        <f>""</f>
        <v/>
      </c>
      <c r="M2192" t="s">
        <v>68</v>
      </c>
      <c r="N2192" t="str">
        <f>"ALT"</f>
        <v>ALT</v>
      </c>
      <c r="O2192" t="s">
        <v>99</v>
      </c>
      <c r="P2192" t="s">
        <v>70</v>
      </c>
      <c r="Q2192">
        <v>2016</v>
      </c>
      <c r="R2192" s="4">
        <v>42605</v>
      </c>
      <c r="S2192" s="2">
        <v>42760</v>
      </c>
      <c r="T2192" s="2">
        <v>42760</v>
      </c>
      <c r="U2192" s="4">
        <v>42820</v>
      </c>
      <c r="V2192" t="s">
        <v>71</v>
      </c>
      <c r="W2192" t="str">
        <f>"             02/2016"</f>
        <v xml:space="preserve">             02/2016</v>
      </c>
      <c r="X2192" s="1">
        <v>6519.48</v>
      </c>
      <c r="Y2192">
        <v>0</v>
      </c>
      <c r="Z2192" s="5">
        <v>6519.48</v>
      </c>
      <c r="AA2192" s="3">
        <v>-54</v>
      </c>
      <c r="AB2192" s="5">
        <v>-352051.92</v>
      </c>
      <c r="AC2192" s="1">
        <v>6519.48</v>
      </c>
      <c r="AD2192">
        <v>-54</v>
      </c>
      <c r="AE2192" s="1">
        <v>-352051.92</v>
      </c>
      <c r="AF2192">
        <v>0</v>
      </c>
      <c r="AJ2192">
        <v>0</v>
      </c>
      <c r="AK2192" s="1">
        <v>6519.48</v>
      </c>
      <c r="AL2192">
        <v>0</v>
      </c>
      <c r="AM2192">
        <v>0</v>
      </c>
      <c r="AN2192" s="1">
        <v>6519.48</v>
      </c>
      <c r="AO2192">
        <v>0</v>
      </c>
      <c r="AP2192" s="2">
        <v>42831</v>
      </c>
      <c r="AQ2192" t="s">
        <v>72</v>
      </c>
      <c r="AR2192" t="s">
        <v>72</v>
      </c>
      <c r="AS2192">
        <v>165</v>
      </c>
      <c r="AT2192" s="4">
        <v>42766</v>
      </c>
      <c r="AV2192">
        <v>165</v>
      </c>
      <c r="AW2192" s="4">
        <v>42766</v>
      </c>
      <c r="BD2192">
        <v>0</v>
      </c>
      <c r="BN2192" t="s">
        <v>74</v>
      </c>
    </row>
    <row r="2193" spans="1:66">
      <c r="A2193">
        <v>106353</v>
      </c>
      <c r="B2193" t="s">
        <v>458</v>
      </c>
      <c r="C2193" s="1">
        <v>43500101</v>
      </c>
      <c r="D2193" t="s">
        <v>98</v>
      </c>
      <c r="H2193" t="str">
        <f>"95141450635"</f>
        <v>95141450635</v>
      </c>
      <c r="I2193" t="str">
        <f>""</f>
        <v/>
      </c>
      <c r="K2193" t="str">
        <f>""</f>
        <v/>
      </c>
      <c r="M2193" t="s">
        <v>68</v>
      </c>
      <c r="N2193" t="str">
        <f>"ALT"</f>
        <v>ALT</v>
      </c>
      <c r="O2193" t="s">
        <v>99</v>
      </c>
      <c r="P2193" t="s">
        <v>70</v>
      </c>
      <c r="Q2193">
        <v>2017</v>
      </c>
      <c r="R2193" s="4">
        <v>42742</v>
      </c>
      <c r="S2193" s="2">
        <v>42817</v>
      </c>
      <c r="T2193" s="2">
        <v>42817</v>
      </c>
      <c r="U2193" s="4">
        <v>42877</v>
      </c>
      <c r="V2193" t="s">
        <v>71</v>
      </c>
      <c r="W2193" t="str">
        <f>"                   1"</f>
        <v xml:space="preserve">                   1</v>
      </c>
      <c r="X2193" s="1">
        <v>13862.78</v>
      </c>
      <c r="Y2193">
        <v>0</v>
      </c>
      <c r="Z2193" s="5">
        <v>13862.78</v>
      </c>
      <c r="AA2193" s="3">
        <v>-59</v>
      </c>
      <c r="AB2193" s="5">
        <v>-817904.02</v>
      </c>
      <c r="AC2193" s="1">
        <v>13862.78</v>
      </c>
      <c r="AD2193">
        <v>-59</v>
      </c>
      <c r="AE2193" s="1">
        <v>-817904.02</v>
      </c>
      <c r="AF2193">
        <v>0</v>
      </c>
      <c r="AJ2193">
        <v>0</v>
      </c>
      <c r="AK2193" s="1">
        <v>13862.78</v>
      </c>
      <c r="AL2193" s="1">
        <v>13862.78</v>
      </c>
      <c r="AM2193">
        <v>0</v>
      </c>
      <c r="AN2193" s="1">
        <v>13862.78</v>
      </c>
      <c r="AO2193" s="1">
        <v>13862.78</v>
      </c>
      <c r="AP2193" s="2">
        <v>42831</v>
      </c>
      <c r="AQ2193" t="s">
        <v>72</v>
      </c>
      <c r="AR2193" t="s">
        <v>72</v>
      </c>
      <c r="AS2193">
        <v>900</v>
      </c>
      <c r="AT2193" s="4">
        <v>42818</v>
      </c>
      <c r="AV2193">
        <v>900</v>
      </c>
      <c r="AW2193" s="4">
        <v>42818</v>
      </c>
      <c r="BD2193">
        <v>0</v>
      </c>
      <c r="BN2193" t="s">
        <v>74</v>
      </c>
    </row>
    <row r="2194" spans="1:66">
      <c r="A2194">
        <v>106355</v>
      </c>
      <c r="B2194" t="s">
        <v>459</v>
      </c>
      <c r="C2194" s="1">
        <v>43500101</v>
      </c>
      <c r="D2194" t="s">
        <v>98</v>
      </c>
      <c r="H2194" t="str">
        <f>"PRNVLR83L17A783C"</f>
        <v>PRNVLR83L17A783C</v>
      </c>
      <c r="I2194" t="str">
        <f>"01578230623"</f>
        <v>01578230623</v>
      </c>
      <c r="K2194" t="str">
        <f>""</f>
        <v/>
      </c>
      <c r="M2194" t="s">
        <v>68</v>
      </c>
      <c r="N2194" t="str">
        <f>"ALTPRO"</f>
        <v>ALTPRO</v>
      </c>
      <c r="O2194" t="s">
        <v>116</v>
      </c>
      <c r="P2194" t="s">
        <v>75</v>
      </c>
      <c r="Q2194">
        <v>2015</v>
      </c>
      <c r="R2194" s="4">
        <v>42369</v>
      </c>
      <c r="S2194" s="2">
        <v>42369</v>
      </c>
      <c r="T2194" s="2">
        <v>42369</v>
      </c>
      <c r="U2194" s="4">
        <v>42429</v>
      </c>
      <c r="V2194" t="s">
        <v>71</v>
      </c>
      <c r="W2194" t="str">
        <f>"             03/2015"</f>
        <v xml:space="preserve">             03/2015</v>
      </c>
      <c r="X2194" s="1">
        <v>11495.3</v>
      </c>
      <c r="Y2194">
        <v>0</v>
      </c>
      <c r="Z2194" s="5">
        <v>11495.3</v>
      </c>
      <c r="AA2194" s="3">
        <v>380</v>
      </c>
      <c r="AB2194" s="5">
        <v>4368214</v>
      </c>
      <c r="AC2194" s="1">
        <v>11495.3</v>
      </c>
      <c r="AD2194">
        <v>380</v>
      </c>
      <c r="AE2194" s="1">
        <v>4368214</v>
      </c>
      <c r="AF2194">
        <v>0</v>
      </c>
      <c r="AJ2194">
        <v>0</v>
      </c>
      <c r="AK2194">
        <v>0</v>
      </c>
      <c r="AL2194">
        <v>0</v>
      </c>
      <c r="AM2194">
        <v>0</v>
      </c>
      <c r="AN2194">
        <v>0</v>
      </c>
      <c r="AO2194">
        <v>0</v>
      </c>
      <c r="AP2194" s="2">
        <v>42831</v>
      </c>
      <c r="AQ2194" t="s">
        <v>72</v>
      </c>
      <c r="AR2194" t="s">
        <v>72</v>
      </c>
      <c r="AS2194">
        <v>756</v>
      </c>
      <c r="AT2194" s="4">
        <v>42809</v>
      </c>
      <c r="AU2194" t="s">
        <v>73</v>
      </c>
      <c r="AV2194">
        <v>756</v>
      </c>
      <c r="AW2194" s="4">
        <v>42809</v>
      </c>
      <c r="BD2194">
        <v>0</v>
      </c>
      <c r="BN2194" t="s">
        <v>74</v>
      </c>
    </row>
    <row r="2195" spans="1:66">
      <c r="A2195">
        <v>106363</v>
      </c>
      <c r="B2195" t="s">
        <v>460</v>
      </c>
      <c r="C2195" s="1">
        <v>43300101</v>
      </c>
      <c r="D2195" t="s">
        <v>67</v>
      </c>
      <c r="H2195" t="str">
        <f>"04874870878"</f>
        <v>04874870878</v>
      </c>
      <c r="I2195" t="str">
        <f>"04874870878"</f>
        <v>04874870878</v>
      </c>
      <c r="K2195" t="str">
        <f>""</f>
        <v/>
      </c>
      <c r="M2195" t="s">
        <v>68</v>
      </c>
      <c r="N2195" t="str">
        <f>"FOR"</f>
        <v>FOR</v>
      </c>
      <c r="O2195" t="s">
        <v>69</v>
      </c>
      <c r="P2195" t="s">
        <v>75</v>
      </c>
      <c r="Q2195">
        <v>2016</v>
      </c>
      <c r="R2195" s="4">
        <v>42723</v>
      </c>
      <c r="S2195" s="2">
        <v>42725</v>
      </c>
      <c r="T2195" s="2">
        <v>42723</v>
      </c>
      <c r="U2195" s="4">
        <v>42783</v>
      </c>
      <c r="V2195" t="s">
        <v>71</v>
      </c>
      <c r="W2195" t="str">
        <f>"         C8-16002460"</f>
        <v xml:space="preserve">         C8-16002460</v>
      </c>
      <c r="X2195">
        <v>242.78</v>
      </c>
      <c r="Y2195">
        <v>0</v>
      </c>
      <c r="Z2195" s="5">
        <v>199</v>
      </c>
      <c r="AA2195" s="3">
        <v>-15</v>
      </c>
      <c r="AB2195" s="5">
        <v>-2985</v>
      </c>
      <c r="AC2195">
        <v>199</v>
      </c>
      <c r="AD2195">
        <v>-15</v>
      </c>
      <c r="AE2195" s="1">
        <v>-2985</v>
      </c>
      <c r="AF2195">
        <v>0</v>
      </c>
      <c r="AJ2195">
        <v>0</v>
      </c>
      <c r="AK2195">
        <v>0</v>
      </c>
      <c r="AL2195">
        <v>0</v>
      </c>
      <c r="AM2195">
        <v>0</v>
      </c>
      <c r="AN2195">
        <v>0</v>
      </c>
      <c r="AO2195">
        <v>0</v>
      </c>
      <c r="AP2195" s="2">
        <v>42831</v>
      </c>
      <c r="AQ2195" t="s">
        <v>72</v>
      </c>
      <c r="AR2195" t="s">
        <v>72</v>
      </c>
      <c r="AS2195">
        <v>280</v>
      </c>
      <c r="AT2195" s="4">
        <v>42768</v>
      </c>
      <c r="AV2195">
        <v>280</v>
      </c>
      <c r="AW2195" s="4">
        <v>42768</v>
      </c>
      <c r="BD2195">
        <v>0</v>
      </c>
      <c r="BN2195" t="s">
        <v>74</v>
      </c>
    </row>
    <row r="2196" spans="1:66" hidden="1">
      <c r="A2196">
        <v>106370</v>
      </c>
      <c r="B2196" t="s">
        <v>461</v>
      </c>
      <c r="C2196" s="1">
        <v>43500101</v>
      </c>
      <c r="D2196" t="s">
        <v>98</v>
      </c>
      <c r="H2196" t="str">
        <f t="shared" ref="H2196:I2198" si="285">"00885351007"</f>
        <v>00885351007</v>
      </c>
      <c r="I2196" t="str">
        <f t="shared" si="285"/>
        <v>00885351007</v>
      </c>
      <c r="K2196" t="str">
        <f>""</f>
        <v/>
      </c>
      <c r="M2196" t="s">
        <v>68</v>
      </c>
      <c r="N2196" t="str">
        <f>"ALT"</f>
        <v>ALT</v>
      </c>
      <c r="O2196" t="s">
        <v>99</v>
      </c>
      <c r="P2196" t="s">
        <v>82</v>
      </c>
      <c r="Q2196">
        <v>2017</v>
      </c>
      <c r="R2196" s="4">
        <v>42755</v>
      </c>
      <c r="S2196" s="2">
        <v>42755</v>
      </c>
      <c r="T2196" s="2">
        <v>42755</v>
      </c>
      <c r="U2196" s="4">
        <v>42815</v>
      </c>
      <c r="V2196" t="s">
        <v>71</v>
      </c>
      <c r="W2196" t="str">
        <f>"                0120"</f>
        <v xml:space="preserve">                0120</v>
      </c>
      <c r="X2196">
        <v>0</v>
      </c>
      <c r="Y2196">
        <v>35.299999999999997</v>
      </c>
      <c r="Z2196" s="3">
        <v>35.299999999999997</v>
      </c>
      <c r="AA2196" s="3">
        <v>-57</v>
      </c>
      <c r="AB2196" s="5">
        <v>-2012.1</v>
      </c>
      <c r="AC2196">
        <v>35.299999999999997</v>
      </c>
      <c r="AD2196">
        <v>-57</v>
      </c>
      <c r="AE2196" s="1">
        <v>-2012.1</v>
      </c>
      <c r="AF2196">
        <v>0</v>
      </c>
      <c r="AJ2196">
        <v>35.299999999999997</v>
      </c>
      <c r="AK2196">
        <v>35.299999999999997</v>
      </c>
      <c r="AL2196">
        <v>35.299999999999997</v>
      </c>
      <c r="AM2196">
        <v>35.299999999999997</v>
      </c>
      <c r="AN2196">
        <v>35.299999999999997</v>
      </c>
      <c r="AO2196">
        <v>35.299999999999997</v>
      </c>
      <c r="AP2196" s="2">
        <v>42831</v>
      </c>
      <c r="AQ2196" t="s">
        <v>72</v>
      </c>
      <c r="AR2196" t="s">
        <v>72</v>
      </c>
      <c r="AS2196">
        <v>77</v>
      </c>
      <c r="AT2196" s="4">
        <v>42758</v>
      </c>
      <c r="AV2196">
        <v>77</v>
      </c>
      <c r="AW2196" s="4">
        <v>42758</v>
      </c>
      <c r="BD2196">
        <v>0</v>
      </c>
      <c r="BN2196" t="s">
        <v>74</v>
      </c>
    </row>
    <row r="2197" spans="1:66" hidden="1">
      <c r="A2197">
        <v>106370</v>
      </c>
      <c r="B2197" t="s">
        <v>461</v>
      </c>
      <c r="C2197" s="1">
        <v>43500101</v>
      </c>
      <c r="D2197" t="s">
        <v>98</v>
      </c>
      <c r="H2197" t="str">
        <f t="shared" si="285"/>
        <v>00885351007</v>
      </c>
      <c r="I2197" t="str">
        <f t="shared" si="285"/>
        <v>00885351007</v>
      </c>
      <c r="K2197" t="str">
        <f>""</f>
        <v/>
      </c>
      <c r="M2197" t="s">
        <v>68</v>
      </c>
      <c r="N2197" t="str">
        <f>"ALT"</f>
        <v>ALT</v>
      </c>
      <c r="O2197" t="s">
        <v>99</v>
      </c>
      <c r="P2197" t="s">
        <v>83</v>
      </c>
      <c r="Q2197">
        <v>2017</v>
      </c>
      <c r="R2197" s="4">
        <v>42786</v>
      </c>
      <c r="S2197" s="2">
        <v>42787</v>
      </c>
      <c r="T2197" s="2">
        <v>42787</v>
      </c>
      <c r="U2197" s="4">
        <v>42847</v>
      </c>
      <c r="V2197" t="s">
        <v>71</v>
      </c>
      <c r="W2197" t="str">
        <f>"                0220"</f>
        <v xml:space="preserve">                0220</v>
      </c>
      <c r="X2197">
        <v>0</v>
      </c>
      <c r="Y2197">
        <v>35.299999999999997</v>
      </c>
      <c r="Z2197" s="3">
        <v>35.299999999999997</v>
      </c>
      <c r="AA2197" s="3">
        <v>-60</v>
      </c>
      <c r="AB2197" s="5">
        <v>-2118</v>
      </c>
      <c r="AC2197">
        <v>35.299999999999997</v>
      </c>
      <c r="AD2197">
        <v>-60</v>
      </c>
      <c r="AE2197" s="1">
        <v>-2118</v>
      </c>
      <c r="AF2197">
        <v>0</v>
      </c>
      <c r="AJ2197">
        <v>35.299999999999997</v>
      </c>
      <c r="AK2197">
        <v>35.299999999999997</v>
      </c>
      <c r="AL2197">
        <v>35.299999999999997</v>
      </c>
      <c r="AM2197">
        <v>35.299999999999997</v>
      </c>
      <c r="AN2197">
        <v>35.299999999999997</v>
      </c>
      <c r="AO2197">
        <v>35.299999999999997</v>
      </c>
      <c r="AP2197" s="2">
        <v>42831</v>
      </c>
      <c r="AQ2197" t="s">
        <v>72</v>
      </c>
      <c r="AR2197" t="s">
        <v>72</v>
      </c>
      <c r="AS2197">
        <v>557</v>
      </c>
      <c r="AT2197" s="4">
        <v>42787</v>
      </c>
      <c r="AV2197">
        <v>557</v>
      </c>
      <c r="AW2197" s="4">
        <v>42787</v>
      </c>
      <c r="BD2197">
        <v>0</v>
      </c>
      <c r="BN2197" t="s">
        <v>74</v>
      </c>
    </row>
    <row r="2198" spans="1:66" hidden="1">
      <c r="A2198">
        <v>106370</v>
      </c>
      <c r="B2198" t="s">
        <v>461</v>
      </c>
      <c r="C2198" s="1">
        <v>43500101</v>
      </c>
      <c r="D2198" t="s">
        <v>98</v>
      </c>
      <c r="H2198" t="str">
        <f t="shared" si="285"/>
        <v>00885351007</v>
      </c>
      <c r="I2198" t="str">
        <f t="shared" si="285"/>
        <v>00885351007</v>
      </c>
      <c r="K2198" t="str">
        <f>""</f>
        <v/>
      </c>
      <c r="M2198" t="s">
        <v>68</v>
      </c>
      <c r="N2198" t="str">
        <f>"ALT"</f>
        <v>ALT</v>
      </c>
      <c r="O2198" t="s">
        <v>99</v>
      </c>
      <c r="P2198" t="s">
        <v>84</v>
      </c>
      <c r="Q2198">
        <v>2017</v>
      </c>
      <c r="R2198" s="4">
        <v>42815</v>
      </c>
      <c r="S2198" s="2">
        <v>42815</v>
      </c>
      <c r="T2198" s="2">
        <v>42815</v>
      </c>
      <c r="U2198" s="4">
        <v>42875</v>
      </c>
      <c r="V2198" t="s">
        <v>71</v>
      </c>
      <c r="W2198" t="str">
        <f>"                0321"</f>
        <v xml:space="preserve">                0321</v>
      </c>
      <c r="X2198">
        <v>0</v>
      </c>
      <c r="Y2198">
        <v>35.299999999999997</v>
      </c>
      <c r="Z2198" s="3">
        <v>35.299999999999997</v>
      </c>
      <c r="AA2198" s="3">
        <v>-60</v>
      </c>
      <c r="AB2198" s="5">
        <v>-2118</v>
      </c>
      <c r="AC2198">
        <v>35.299999999999997</v>
      </c>
      <c r="AD2198">
        <v>-60</v>
      </c>
      <c r="AE2198" s="1">
        <v>-2118</v>
      </c>
      <c r="AF2198">
        <v>0</v>
      </c>
      <c r="AJ2198">
        <v>35.299999999999997</v>
      </c>
      <c r="AK2198">
        <v>35.299999999999997</v>
      </c>
      <c r="AL2198">
        <v>35.299999999999997</v>
      </c>
      <c r="AM2198">
        <v>35.299999999999997</v>
      </c>
      <c r="AN2198">
        <v>35.299999999999997</v>
      </c>
      <c r="AO2198">
        <v>35.299999999999997</v>
      </c>
      <c r="AP2198" s="2">
        <v>42831</v>
      </c>
      <c r="AQ2198" t="s">
        <v>72</v>
      </c>
      <c r="AR2198" t="s">
        <v>72</v>
      </c>
      <c r="AS2198">
        <v>854</v>
      </c>
      <c r="AT2198" s="4">
        <v>42815</v>
      </c>
      <c r="AV2198">
        <v>854</v>
      </c>
      <c r="AW2198" s="4">
        <v>42815</v>
      </c>
      <c r="BD2198">
        <v>0</v>
      </c>
      <c r="BN2198" t="s">
        <v>74</v>
      </c>
    </row>
    <row r="2199" spans="1:66">
      <c r="A2199">
        <v>106384</v>
      </c>
      <c r="B2199" t="s">
        <v>462</v>
      </c>
      <c r="C2199" s="1">
        <v>43500101</v>
      </c>
      <c r="D2199" t="s">
        <v>98</v>
      </c>
      <c r="H2199" t="str">
        <f t="shared" ref="H2199:H2212" si="286">"GTTGLG77R15H703L"</f>
        <v>GTTGLG77R15H703L</v>
      </c>
      <c r="I2199" t="str">
        <f t="shared" ref="I2199:I2212" si="287">"05030100654"</f>
        <v>05030100654</v>
      </c>
      <c r="K2199" t="str">
        <f>""</f>
        <v/>
      </c>
      <c r="M2199" t="s">
        <v>68</v>
      </c>
      <c r="N2199" t="str">
        <f t="shared" ref="N2199:N2212" si="288">"ALTPRO"</f>
        <v>ALTPRO</v>
      </c>
      <c r="O2199" t="s">
        <v>116</v>
      </c>
      <c r="P2199" t="s">
        <v>70</v>
      </c>
      <c r="Q2199">
        <v>2015</v>
      </c>
      <c r="R2199" s="4">
        <v>42125</v>
      </c>
      <c r="S2199" s="2">
        <v>42733</v>
      </c>
      <c r="T2199" s="2">
        <v>42733</v>
      </c>
      <c r="U2199" s="4">
        <v>42793</v>
      </c>
      <c r="V2199" t="s">
        <v>71</v>
      </c>
      <c r="W2199" t="str">
        <f>"                  E1"</f>
        <v xml:space="preserve">                  E1</v>
      </c>
      <c r="X2199" s="1">
        <v>2528.64</v>
      </c>
      <c r="Y2199">
        <v>0</v>
      </c>
      <c r="Z2199" s="5">
        <v>2528.64</v>
      </c>
      <c r="AA2199" s="3">
        <v>-28</v>
      </c>
      <c r="AB2199" s="5">
        <v>-70801.919999999998</v>
      </c>
      <c r="AC2199" s="1">
        <v>2528.64</v>
      </c>
      <c r="AD2199">
        <v>-28</v>
      </c>
      <c r="AE2199" s="1">
        <v>-70801.919999999998</v>
      </c>
      <c r="AF2199">
        <v>0</v>
      </c>
      <c r="AJ2199">
        <v>0</v>
      </c>
      <c r="AK2199">
        <v>0</v>
      </c>
      <c r="AL2199">
        <v>0</v>
      </c>
      <c r="AM2199">
        <v>0</v>
      </c>
      <c r="AN2199">
        <v>0</v>
      </c>
      <c r="AO2199">
        <v>0</v>
      </c>
      <c r="AP2199" s="2">
        <v>42831</v>
      </c>
      <c r="AQ2199" t="s">
        <v>72</v>
      </c>
      <c r="AR2199" t="s">
        <v>72</v>
      </c>
      <c r="AS2199">
        <v>109</v>
      </c>
      <c r="AT2199" s="4">
        <v>42765</v>
      </c>
      <c r="AV2199">
        <v>109</v>
      </c>
      <c r="AW2199" s="4">
        <v>42765</v>
      </c>
      <c r="BD2199">
        <v>0</v>
      </c>
      <c r="BN2199" t="s">
        <v>74</v>
      </c>
    </row>
    <row r="2200" spans="1:66">
      <c r="A2200">
        <v>106384</v>
      </c>
      <c r="B2200" t="s">
        <v>462</v>
      </c>
      <c r="C2200" s="1">
        <v>43500101</v>
      </c>
      <c r="D2200" t="s">
        <v>98</v>
      </c>
      <c r="H2200" t="str">
        <f t="shared" si="286"/>
        <v>GTTGLG77R15H703L</v>
      </c>
      <c r="I2200" t="str">
        <f t="shared" si="287"/>
        <v>05030100654</v>
      </c>
      <c r="K2200" t="str">
        <f>""</f>
        <v/>
      </c>
      <c r="M2200" t="s">
        <v>68</v>
      </c>
      <c r="N2200" t="str">
        <f t="shared" si="288"/>
        <v>ALTPRO</v>
      </c>
      <c r="O2200" t="s">
        <v>116</v>
      </c>
      <c r="P2200" t="s">
        <v>75</v>
      </c>
      <c r="Q2200">
        <v>2017</v>
      </c>
      <c r="R2200" s="4">
        <v>42744</v>
      </c>
      <c r="S2200" s="2">
        <v>42747</v>
      </c>
      <c r="T2200" s="2">
        <v>42745</v>
      </c>
      <c r="U2200" s="4">
        <v>42805</v>
      </c>
      <c r="V2200" t="s">
        <v>71</v>
      </c>
      <c r="W2200" t="str">
        <f>"                  2E"</f>
        <v xml:space="preserve">                  2E</v>
      </c>
      <c r="X2200" s="1">
        <v>2333.5500000000002</v>
      </c>
      <c r="Y2200">
        <v>0</v>
      </c>
      <c r="Z2200" s="5">
        <v>2333.5500000000002</v>
      </c>
      <c r="AA2200" s="3">
        <v>-40</v>
      </c>
      <c r="AB2200" s="5">
        <v>-93342</v>
      </c>
      <c r="AC2200" s="1">
        <v>2333.5500000000002</v>
      </c>
      <c r="AD2200">
        <v>-40</v>
      </c>
      <c r="AE2200" s="1">
        <v>-93342</v>
      </c>
      <c r="AF2200">
        <v>0</v>
      </c>
      <c r="AJ2200">
        <v>0</v>
      </c>
      <c r="AK2200" s="1">
        <v>2333.5500000000002</v>
      </c>
      <c r="AL2200" s="1">
        <v>2333.5500000000002</v>
      </c>
      <c r="AM2200">
        <v>0</v>
      </c>
      <c r="AN2200" s="1">
        <v>2333.5500000000002</v>
      </c>
      <c r="AO2200" s="1">
        <v>2333.5500000000002</v>
      </c>
      <c r="AP2200" s="2">
        <v>42831</v>
      </c>
      <c r="AQ2200" t="s">
        <v>72</v>
      </c>
      <c r="AR2200" t="s">
        <v>72</v>
      </c>
      <c r="AS2200">
        <v>109</v>
      </c>
      <c r="AT2200" s="4">
        <v>42765</v>
      </c>
      <c r="AV2200">
        <v>109</v>
      </c>
      <c r="AW2200" s="4">
        <v>42765</v>
      </c>
      <c r="BD2200">
        <v>0</v>
      </c>
      <c r="BN2200" t="s">
        <v>74</v>
      </c>
    </row>
    <row r="2201" spans="1:66">
      <c r="A2201">
        <v>106384</v>
      </c>
      <c r="B2201" t="s">
        <v>462</v>
      </c>
      <c r="C2201" s="1">
        <v>43500101</v>
      </c>
      <c r="D2201" t="s">
        <v>98</v>
      </c>
      <c r="H2201" t="str">
        <f t="shared" si="286"/>
        <v>GTTGLG77R15H703L</v>
      </c>
      <c r="I2201" t="str">
        <f t="shared" si="287"/>
        <v>05030100654</v>
      </c>
      <c r="K2201" t="str">
        <f>""</f>
        <v/>
      </c>
      <c r="M2201" t="s">
        <v>68</v>
      </c>
      <c r="N2201" t="str">
        <f t="shared" si="288"/>
        <v>ALTPRO</v>
      </c>
      <c r="O2201" t="s">
        <v>116</v>
      </c>
      <c r="P2201" t="s">
        <v>75</v>
      </c>
      <c r="Q2201">
        <v>2017</v>
      </c>
      <c r="R2201" s="4">
        <v>42744</v>
      </c>
      <c r="S2201" s="2">
        <v>42747</v>
      </c>
      <c r="T2201" s="2">
        <v>42745</v>
      </c>
      <c r="U2201" s="4">
        <v>42805</v>
      </c>
      <c r="V2201" t="s">
        <v>71</v>
      </c>
      <c r="W2201" t="str">
        <f>"                  3E"</f>
        <v xml:space="preserve">                  3E</v>
      </c>
      <c r="X2201" s="1">
        <v>2634</v>
      </c>
      <c r="Y2201">
        <v>0</v>
      </c>
      <c r="Z2201" s="5">
        <v>2634</v>
      </c>
      <c r="AA2201" s="3">
        <v>-40</v>
      </c>
      <c r="AB2201" s="5">
        <v>-105360</v>
      </c>
      <c r="AC2201" s="1">
        <v>2634</v>
      </c>
      <c r="AD2201">
        <v>-40</v>
      </c>
      <c r="AE2201" s="1">
        <v>-105360</v>
      </c>
      <c r="AF2201">
        <v>0</v>
      </c>
      <c r="AJ2201">
        <v>0</v>
      </c>
      <c r="AK2201" s="1">
        <v>2634</v>
      </c>
      <c r="AL2201" s="1">
        <v>2634</v>
      </c>
      <c r="AM2201">
        <v>0</v>
      </c>
      <c r="AN2201" s="1">
        <v>2634</v>
      </c>
      <c r="AO2201" s="1">
        <v>2634</v>
      </c>
      <c r="AP2201" s="2">
        <v>42831</v>
      </c>
      <c r="AQ2201" t="s">
        <v>72</v>
      </c>
      <c r="AR2201" t="s">
        <v>72</v>
      </c>
      <c r="AS2201">
        <v>109</v>
      </c>
      <c r="AT2201" s="4">
        <v>42765</v>
      </c>
      <c r="AV2201">
        <v>109</v>
      </c>
      <c r="AW2201" s="4">
        <v>42765</v>
      </c>
      <c r="BD2201">
        <v>0</v>
      </c>
      <c r="BN2201" t="s">
        <v>74</v>
      </c>
    </row>
    <row r="2202" spans="1:66">
      <c r="A2202">
        <v>106384</v>
      </c>
      <c r="B2202" t="s">
        <v>462</v>
      </c>
      <c r="C2202" s="1">
        <v>43500101</v>
      </c>
      <c r="D2202" t="s">
        <v>98</v>
      </c>
      <c r="H2202" t="str">
        <f t="shared" si="286"/>
        <v>GTTGLG77R15H703L</v>
      </c>
      <c r="I2202" t="str">
        <f t="shared" si="287"/>
        <v>05030100654</v>
      </c>
      <c r="K2202" t="str">
        <f>""</f>
        <v/>
      </c>
      <c r="M2202" t="s">
        <v>68</v>
      </c>
      <c r="N2202" t="str">
        <f t="shared" si="288"/>
        <v>ALTPRO</v>
      </c>
      <c r="O2202" t="s">
        <v>116</v>
      </c>
      <c r="P2202" t="s">
        <v>75</v>
      </c>
      <c r="Q2202">
        <v>2017</v>
      </c>
      <c r="R2202" s="4">
        <v>42744</v>
      </c>
      <c r="S2202" s="2">
        <v>42747</v>
      </c>
      <c r="T2202" s="2">
        <v>42745</v>
      </c>
      <c r="U2202" s="4">
        <v>42805</v>
      </c>
      <c r="V2202" t="s">
        <v>71</v>
      </c>
      <c r="W2202" t="str">
        <f>"                  4E"</f>
        <v xml:space="preserve">                  4E</v>
      </c>
      <c r="X2202" s="1">
        <v>2844.72</v>
      </c>
      <c r="Y2202">
        <v>0</v>
      </c>
      <c r="Z2202" s="5">
        <v>2844.72</v>
      </c>
      <c r="AA2202" s="3">
        <v>-40</v>
      </c>
      <c r="AB2202" s="5">
        <v>-113788.8</v>
      </c>
      <c r="AC2202" s="1">
        <v>2844.72</v>
      </c>
      <c r="AD2202">
        <v>-40</v>
      </c>
      <c r="AE2202" s="1">
        <v>-113788.8</v>
      </c>
      <c r="AF2202">
        <v>0</v>
      </c>
      <c r="AJ2202">
        <v>0</v>
      </c>
      <c r="AK2202" s="1">
        <v>2844.72</v>
      </c>
      <c r="AL2202" s="1">
        <v>2844.72</v>
      </c>
      <c r="AM2202">
        <v>0</v>
      </c>
      <c r="AN2202" s="1">
        <v>2844.72</v>
      </c>
      <c r="AO2202" s="1">
        <v>2844.72</v>
      </c>
      <c r="AP2202" s="2">
        <v>42831</v>
      </c>
      <c r="AQ2202" t="s">
        <v>72</v>
      </c>
      <c r="AR2202" t="s">
        <v>72</v>
      </c>
      <c r="AS2202">
        <v>109</v>
      </c>
      <c r="AT2202" s="4">
        <v>42765</v>
      </c>
      <c r="AV2202">
        <v>109</v>
      </c>
      <c r="AW2202" s="4">
        <v>42765</v>
      </c>
      <c r="BD2202">
        <v>0</v>
      </c>
      <c r="BN2202" t="s">
        <v>74</v>
      </c>
    </row>
    <row r="2203" spans="1:66">
      <c r="A2203">
        <v>106384</v>
      </c>
      <c r="B2203" t="s">
        <v>462</v>
      </c>
      <c r="C2203" s="1">
        <v>43500101</v>
      </c>
      <c r="D2203" t="s">
        <v>98</v>
      </c>
      <c r="H2203" t="str">
        <f t="shared" si="286"/>
        <v>GTTGLG77R15H703L</v>
      </c>
      <c r="I2203" t="str">
        <f t="shared" si="287"/>
        <v>05030100654</v>
      </c>
      <c r="K2203" t="str">
        <f>""</f>
        <v/>
      </c>
      <c r="M2203" t="s">
        <v>68</v>
      </c>
      <c r="N2203" t="str">
        <f t="shared" si="288"/>
        <v>ALTPRO</v>
      </c>
      <c r="O2203" t="s">
        <v>116</v>
      </c>
      <c r="P2203" t="s">
        <v>75</v>
      </c>
      <c r="Q2203">
        <v>2017</v>
      </c>
      <c r="R2203" s="4">
        <v>42744</v>
      </c>
      <c r="S2203" s="2">
        <v>42747</v>
      </c>
      <c r="T2203" s="2">
        <v>42745</v>
      </c>
      <c r="U2203" s="4">
        <v>42805</v>
      </c>
      <c r="V2203" t="s">
        <v>71</v>
      </c>
      <c r="W2203" t="str">
        <f>"                  5E"</f>
        <v xml:space="preserve">                  5E</v>
      </c>
      <c r="X2203" s="1">
        <v>2528.64</v>
      </c>
      <c r="Y2203">
        <v>0</v>
      </c>
      <c r="Z2203" s="5">
        <v>2528.64</v>
      </c>
      <c r="AA2203" s="3">
        <v>-40</v>
      </c>
      <c r="AB2203" s="5">
        <v>-101145.60000000001</v>
      </c>
      <c r="AC2203" s="1">
        <v>2528.64</v>
      </c>
      <c r="AD2203">
        <v>-40</v>
      </c>
      <c r="AE2203" s="1">
        <v>-101145.60000000001</v>
      </c>
      <c r="AF2203">
        <v>0</v>
      </c>
      <c r="AJ2203">
        <v>0</v>
      </c>
      <c r="AK2203" s="1">
        <v>2528.64</v>
      </c>
      <c r="AL2203" s="1">
        <v>2528.64</v>
      </c>
      <c r="AM2203">
        <v>0</v>
      </c>
      <c r="AN2203" s="1">
        <v>2528.64</v>
      </c>
      <c r="AO2203" s="1">
        <v>2528.64</v>
      </c>
      <c r="AP2203" s="2">
        <v>42831</v>
      </c>
      <c r="AQ2203" t="s">
        <v>72</v>
      </c>
      <c r="AR2203" t="s">
        <v>72</v>
      </c>
      <c r="AS2203">
        <v>109</v>
      </c>
      <c r="AT2203" s="4">
        <v>42765</v>
      </c>
      <c r="AV2203">
        <v>109</v>
      </c>
      <c r="AW2203" s="4">
        <v>42765</v>
      </c>
      <c r="BD2203">
        <v>0</v>
      </c>
      <c r="BN2203" t="s">
        <v>74</v>
      </c>
    </row>
    <row r="2204" spans="1:66">
      <c r="A2204">
        <v>106384</v>
      </c>
      <c r="B2204" t="s">
        <v>462</v>
      </c>
      <c r="C2204" s="1">
        <v>43500101</v>
      </c>
      <c r="D2204" t="s">
        <v>98</v>
      </c>
      <c r="H2204" t="str">
        <f t="shared" si="286"/>
        <v>GTTGLG77R15H703L</v>
      </c>
      <c r="I2204" t="str">
        <f t="shared" si="287"/>
        <v>05030100654</v>
      </c>
      <c r="K2204" t="str">
        <f>""</f>
        <v/>
      </c>
      <c r="M2204" t="s">
        <v>68</v>
      </c>
      <c r="N2204" t="str">
        <f t="shared" si="288"/>
        <v>ALTPRO</v>
      </c>
      <c r="O2204" t="s">
        <v>116</v>
      </c>
      <c r="P2204" t="s">
        <v>75</v>
      </c>
      <c r="Q2204">
        <v>2017</v>
      </c>
      <c r="R2204" s="4">
        <v>42744</v>
      </c>
      <c r="S2204" s="2">
        <v>42747</v>
      </c>
      <c r="T2204" s="2">
        <v>42745</v>
      </c>
      <c r="U2204" s="4">
        <v>42805</v>
      </c>
      <c r="V2204" t="s">
        <v>71</v>
      </c>
      <c r="W2204" t="str">
        <f>"                  6E"</f>
        <v xml:space="preserve">                  6E</v>
      </c>
      <c r="X2204" s="1">
        <v>2739.36</v>
      </c>
      <c r="Y2204">
        <v>0</v>
      </c>
      <c r="Z2204" s="5">
        <v>2739.36</v>
      </c>
      <c r="AA2204" s="3">
        <v>-40</v>
      </c>
      <c r="AB2204" s="5">
        <v>-109574.39999999999</v>
      </c>
      <c r="AC2204" s="1">
        <v>2739.36</v>
      </c>
      <c r="AD2204">
        <v>-40</v>
      </c>
      <c r="AE2204" s="1">
        <v>-109574.39999999999</v>
      </c>
      <c r="AF2204">
        <v>0</v>
      </c>
      <c r="AJ2204">
        <v>0</v>
      </c>
      <c r="AK2204" s="1">
        <v>2739.36</v>
      </c>
      <c r="AL2204" s="1">
        <v>2739.36</v>
      </c>
      <c r="AM2204">
        <v>0</v>
      </c>
      <c r="AN2204" s="1">
        <v>2739.36</v>
      </c>
      <c r="AO2204" s="1">
        <v>2739.36</v>
      </c>
      <c r="AP2204" s="2">
        <v>42831</v>
      </c>
      <c r="AQ2204" t="s">
        <v>72</v>
      </c>
      <c r="AR2204" t="s">
        <v>72</v>
      </c>
      <c r="AS2204">
        <v>109</v>
      </c>
      <c r="AT2204" s="4">
        <v>42765</v>
      </c>
      <c r="AV2204">
        <v>109</v>
      </c>
      <c r="AW2204" s="4">
        <v>42765</v>
      </c>
      <c r="BD2204">
        <v>0</v>
      </c>
      <c r="BN2204" t="s">
        <v>74</v>
      </c>
    </row>
    <row r="2205" spans="1:66">
      <c r="A2205">
        <v>106384</v>
      </c>
      <c r="B2205" t="s">
        <v>462</v>
      </c>
      <c r="C2205" s="1">
        <v>43500101</v>
      </c>
      <c r="D2205" t="s">
        <v>98</v>
      </c>
      <c r="H2205" t="str">
        <f t="shared" si="286"/>
        <v>GTTGLG77R15H703L</v>
      </c>
      <c r="I2205" t="str">
        <f t="shared" si="287"/>
        <v>05030100654</v>
      </c>
      <c r="K2205" t="str">
        <f>""</f>
        <v/>
      </c>
      <c r="M2205" t="s">
        <v>68</v>
      </c>
      <c r="N2205" t="str">
        <f t="shared" si="288"/>
        <v>ALTPRO</v>
      </c>
      <c r="O2205" t="s">
        <v>116</v>
      </c>
      <c r="P2205" t="s">
        <v>75</v>
      </c>
      <c r="Q2205">
        <v>2017</v>
      </c>
      <c r="R2205" s="4">
        <v>42747</v>
      </c>
      <c r="S2205" s="2">
        <v>42752</v>
      </c>
      <c r="T2205" s="2">
        <v>42751</v>
      </c>
      <c r="U2205" s="4">
        <v>42811</v>
      </c>
      <c r="V2205" t="s">
        <v>71</v>
      </c>
      <c r="W2205" t="str">
        <f>"                  7E"</f>
        <v xml:space="preserve">                  7E</v>
      </c>
      <c r="X2205" s="1">
        <v>2844.72</v>
      </c>
      <c r="Y2205">
        <v>0</v>
      </c>
      <c r="Z2205" s="5">
        <v>2844.72</v>
      </c>
      <c r="AA2205" s="3">
        <v>-35</v>
      </c>
      <c r="AB2205" s="5">
        <v>-99565.2</v>
      </c>
      <c r="AC2205" s="1">
        <v>2844.72</v>
      </c>
      <c r="AD2205">
        <v>-35</v>
      </c>
      <c r="AE2205" s="1">
        <v>-99565.2</v>
      </c>
      <c r="AF2205">
        <v>0</v>
      </c>
      <c r="AJ2205">
        <v>0</v>
      </c>
      <c r="AK2205" s="1">
        <v>2844.72</v>
      </c>
      <c r="AL2205" s="1">
        <v>2844.72</v>
      </c>
      <c r="AM2205">
        <v>0</v>
      </c>
      <c r="AN2205" s="1">
        <v>2844.72</v>
      </c>
      <c r="AO2205" s="1">
        <v>2844.72</v>
      </c>
      <c r="AP2205" s="2">
        <v>42831</v>
      </c>
      <c r="AQ2205" t="s">
        <v>72</v>
      </c>
      <c r="AR2205" t="s">
        <v>72</v>
      </c>
      <c r="AS2205">
        <v>390</v>
      </c>
      <c r="AT2205" s="4">
        <v>42776</v>
      </c>
      <c r="AV2205">
        <v>390</v>
      </c>
      <c r="AW2205" s="4">
        <v>42776</v>
      </c>
      <c r="BD2205">
        <v>0</v>
      </c>
      <c r="BN2205" t="s">
        <v>74</v>
      </c>
    </row>
    <row r="2206" spans="1:66">
      <c r="A2206">
        <v>106384</v>
      </c>
      <c r="B2206" t="s">
        <v>462</v>
      </c>
      <c r="C2206" s="1">
        <v>43500101</v>
      </c>
      <c r="D2206" t="s">
        <v>98</v>
      </c>
      <c r="H2206" t="str">
        <f t="shared" si="286"/>
        <v>GTTGLG77R15H703L</v>
      </c>
      <c r="I2206" t="str">
        <f t="shared" si="287"/>
        <v>05030100654</v>
      </c>
      <c r="K2206" t="str">
        <f>""</f>
        <v/>
      </c>
      <c r="M2206" t="s">
        <v>68</v>
      </c>
      <c r="N2206" t="str">
        <f t="shared" si="288"/>
        <v>ALTPRO</v>
      </c>
      <c r="O2206" t="s">
        <v>116</v>
      </c>
      <c r="P2206" t="s">
        <v>75</v>
      </c>
      <c r="Q2206">
        <v>2017</v>
      </c>
      <c r="R2206" s="4">
        <v>42747</v>
      </c>
      <c r="S2206" s="2">
        <v>42752</v>
      </c>
      <c r="T2206" s="2">
        <v>42751</v>
      </c>
      <c r="U2206" s="4">
        <v>42811</v>
      </c>
      <c r="V2206" t="s">
        <v>71</v>
      </c>
      <c r="W2206" t="str">
        <f>"                  8E"</f>
        <v xml:space="preserve">                  8E</v>
      </c>
      <c r="X2206" s="1">
        <v>2634</v>
      </c>
      <c r="Y2206">
        <v>0</v>
      </c>
      <c r="Z2206" s="5">
        <v>2634</v>
      </c>
      <c r="AA2206" s="3">
        <v>-35</v>
      </c>
      <c r="AB2206" s="5">
        <v>-92190</v>
      </c>
      <c r="AC2206" s="1">
        <v>2634</v>
      </c>
      <c r="AD2206">
        <v>-35</v>
      </c>
      <c r="AE2206" s="1">
        <v>-92190</v>
      </c>
      <c r="AF2206">
        <v>0</v>
      </c>
      <c r="AJ2206">
        <v>0</v>
      </c>
      <c r="AK2206" s="1">
        <v>2634</v>
      </c>
      <c r="AL2206" s="1">
        <v>2634</v>
      </c>
      <c r="AM2206">
        <v>0</v>
      </c>
      <c r="AN2206" s="1">
        <v>2634</v>
      </c>
      <c r="AO2206" s="1">
        <v>2634</v>
      </c>
      <c r="AP2206" s="2">
        <v>42831</v>
      </c>
      <c r="AQ2206" t="s">
        <v>72</v>
      </c>
      <c r="AR2206" t="s">
        <v>72</v>
      </c>
      <c r="AS2206">
        <v>390</v>
      </c>
      <c r="AT2206" s="4">
        <v>42776</v>
      </c>
      <c r="AV2206">
        <v>390</v>
      </c>
      <c r="AW2206" s="4">
        <v>42776</v>
      </c>
      <c r="BD2206">
        <v>0</v>
      </c>
      <c r="BN2206" t="s">
        <v>74</v>
      </c>
    </row>
    <row r="2207" spans="1:66">
      <c r="A2207">
        <v>106384</v>
      </c>
      <c r="B2207" t="s">
        <v>462</v>
      </c>
      <c r="C2207" s="1">
        <v>43500101</v>
      </c>
      <c r="D2207" t="s">
        <v>98</v>
      </c>
      <c r="H2207" t="str">
        <f t="shared" si="286"/>
        <v>GTTGLG77R15H703L</v>
      </c>
      <c r="I2207" t="str">
        <f t="shared" si="287"/>
        <v>05030100654</v>
      </c>
      <c r="K2207" t="str">
        <f>""</f>
        <v/>
      </c>
      <c r="M2207" t="s">
        <v>68</v>
      </c>
      <c r="N2207" t="str">
        <f t="shared" si="288"/>
        <v>ALTPRO</v>
      </c>
      <c r="O2207" t="s">
        <v>116</v>
      </c>
      <c r="P2207" t="s">
        <v>75</v>
      </c>
      <c r="Q2207">
        <v>2017</v>
      </c>
      <c r="R2207" s="4">
        <v>42744</v>
      </c>
      <c r="S2207" s="2">
        <v>42747</v>
      </c>
      <c r="T2207" s="2">
        <v>42745</v>
      </c>
      <c r="U2207" s="4">
        <v>42805</v>
      </c>
      <c r="V2207" t="s">
        <v>71</v>
      </c>
      <c r="W2207" t="str">
        <f>"                  9E"</f>
        <v xml:space="preserve">                  9E</v>
      </c>
      <c r="X2207" s="1">
        <v>2508.52</v>
      </c>
      <c r="Y2207">
        <v>0</v>
      </c>
      <c r="Z2207" s="5">
        <v>2508.52</v>
      </c>
      <c r="AA2207" s="3">
        <v>-40</v>
      </c>
      <c r="AB2207" s="5">
        <v>-100340.8</v>
      </c>
      <c r="AC2207" s="1">
        <v>2508.52</v>
      </c>
      <c r="AD2207">
        <v>-40</v>
      </c>
      <c r="AE2207" s="1">
        <v>-100340.8</v>
      </c>
      <c r="AF2207">
        <v>0</v>
      </c>
      <c r="AJ2207">
        <v>0</v>
      </c>
      <c r="AK2207" s="1">
        <v>2508.52</v>
      </c>
      <c r="AL2207" s="1">
        <v>2508.52</v>
      </c>
      <c r="AM2207">
        <v>0</v>
      </c>
      <c r="AN2207" s="1">
        <v>2508.52</v>
      </c>
      <c r="AO2207" s="1">
        <v>2508.52</v>
      </c>
      <c r="AP2207" s="2">
        <v>42831</v>
      </c>
      <c r="AQ2207" t="s">
        <v>72</v>
      </c>
      <c r="AR2207" t="s">
        <v>72</v>
      </c>
      <c r="AS2207">
        <v>109</v>
      </c>
      <c r="AT2207" s="4">
        <v>42765</v>
      </c>
      <c r="AV2207">
        <v>109</v>
      </c>
      <c r="AW2207" s="4">
        <v>42765</v>
      </c>
      <c r="BD2207">
        <v>0</v>
      </c>
      <c r="BN2207" t="s">
        <v>74</v>
      </c>
    </row>
    <row r="2208" spans="1:66">
      <c r="A2208">
        <v>106384</v>
      </c>
      <c r="B2208" t="s">
        <v>462</v>
      </c>
      <c r="C2208" s="1">
        <v>43500101</v>
      </c>
      <c r="D2208" t="s">
        <v>98</v>
      </c>
      <c r="H2208" t="str">
        <f t="shared" si="286"/>
        <v>GTTGLG77R15H703L</v>
      </c>
      <c r="I2208" t="str">
        <f t="shared" si="287"/>
        <v>05030100654</v>
      </c>
      <c r="K2208" t="str">
        <f>""</f>
        <v/>
      </c>
      <c r="M2208" t="s">
        <v>68</v>
      </c>
      <c r="N2208" t="str">
        <f t="shared" si="288"/>
        <v>ALTPRO</v>
      </c>
      <c r="O2208" t="s">
        <v>116</v>
      </c>
      <c r="P2208" t="s">
        <v>75</v>
      </c>
      <c r="Q2208">
        <v>2017</v>
      </c>
      <c r="R2208" s="4">
        <v>42744</v>
      </c>
      <c r="S2208" s="2">
        <v>42747</v>
      </c>
      <c r="T2208" s="2">
        <v>42745</v>
      </c>
      <c r="U2208" s="4">
        <v>42805</v>
      </c>
      <c r="V2208" t="s">
        <v>71</v>
      </c>
      <c r="W2208" t="str">
        <f>"                 10E"</f>
        <v xml:space="preserve">                 10E</v>
      </c>
      <c r="X2208" s="1">
        <v>2528.64</v>
      </c>
      <c r="Y2208">
        <v>0</v>
      </c>
      <c r="Z2208" s="5">
        <v>2528.64</v>
      </c>
      <c r="AA2208" s="3">
        <v>-29</v>
      </c>
      <c r="AB2208" s="5">
        <v>-73330.559999999998</v>
      </c>
      <c r="AC2208" s="1">
        <v>2528.64</v>
      </c>
      <c r="AD2208">
        <v>-29</v>
      </c>
      <c r="AE2208" s="1">
        <v>-73330.559999999998</v>
      </c>
      <c r="AF2208">
        <v>0</v>
      </c>
      <c r="AJ2208">
        <v>0</v>
      </c>
      <c r="AK2208" s="1">
        <v>2528.64</v>
      </c>
      <c r="AL2208" s="1">
        <v>2528.64</v>
      </c>
      <c r="AM2208">
        <v>0</v>
      </c>
      <c r="AN2208" s="1">
        <v>2528.64</v>
      </c>
      <c r="AO2208" s="1">
        <v>2528.64</v>
      </c>
      <c r="AP2208" s="2">
        <v>42831</v>
      </c>
      <c r="AQ2208" t="s">
        <v>72</v>
      </c>
      <c r="AR2208" t="s">
        <v>72</v>
      </c>
      <c r="AS2208">
        <v>390</v>
      </c>
      <c r="AT2208" s="4">
        <v>42776</v>
      </c>
      <c r="AV2208">
        <v>390</v>
      </c>
      <c r="AW2208" s="4">
        <v>42776</v>
      </c>
      <c r="BD2208">
        <v>0</v>
      </c>
      <c r="BN2208" t="s">
        <v>74</v>
      </c>
    </row>
    <row r="2209" spans="1:66">
      <c r="A2209">
        <v>106384</v>
      </c>
      <c r="B2209" t="s">
        <v>462</v>
      </c>
      <c r="C2209" s="1">
        <v>43500101</v>
      </c>
      <c r="D2209" t="s">
        <v>98</v>
      </c>
      <c r="H2209" t="str">
        <f t="shared" si="286"/>
        <v>GTTGLG77R15H703L</v>
      </c>
      <c r="I2209" t="str">
        <f t="shared" si="287"/>
        <v>05030100654</v>
      </c>
      <c r="K2209" t="str">
        <f>""</f>
        <v/>
      </c>
      <c r="M2209" t="s">
        <v>68</v>
      </c>
      <c r="N2209" t="str">
        <f t="shared" si="288"/>
        <v>ALTPRO</v>
      </c>
      <c r="O2209" t="s">
        <v>116</v>
      </c>
      <c r="P2209" t="s">
        <v>75</v>
      </c>
      <c r="Q2209">
        <v>2017</v>
      </c>
      <c r="R2209" s="4">
        <v>42744</v>
      </c>
      <c r="S2209" s="2">
        <v>42747</v>
      </c>
      <c r="T2209" s="2">
        <v>42745</v>
      </c>
      <c r="U2209" s="4">
        <v>42805</v>
      </c>
      <c r="V2209" t="s">
        <v>71</v>
      </c>
      <c r="W2209" t="str">
        <f>"                 11E"</f>
        <v xml:space="preserve">                 11E</v>
      </c>
      <c r="X2209" s="1">
        <v>2634</v>
      </c>
      <c r="Y2209">
        <v>0</v>
      </c>
      <c r="Z2209" s="5">
        <v>2634</v>
      </c>
      <c r="AA2209" s="3">
        <v>-29</v>
      </c>
      <c r="AB2209" s="5">
        <v>-76386</v>
      </c>
      <c r="AC2209" s="1">
        <v>2634</v>
      </c>
      <c r="AD2209">
        <v>-29</v>
      </c>
      <c r="AE2209" s="1">
        <v>-76386</v>
      </c>
      <c r="AF2209">
        <v>0</v>
      </c>
      <c r="AJ2209">
        <v>0</v>
      </c>
      <c r="AK2209" s="1">
        <v>2634</v>
      </c>
      <c r="AL2209" s="1">
        <v>2634</v>
      </c>
      <c r="AM2209">
        <v>0</v>
      </c>
      <c r="AN2209" s="1">
        <v>2634</v>
      </c>
      <c r="AO2209" s="1">
        <v>2634</v>
      </c>
      <c r="AP2209" s="2">
        <v>42831</v>
      </c>
      <c r="AQ2209" t="s">
        <v>72</v>
      </c>
      <c r="AR2209" t="s">
        <v>72</v>
      </c>
      <c r="AS2209">
        <v>390</v>
      </c>
      <c r="AT2209" s="4">
        <v>42776</v>
      </c>
      <c r="AV2209">
        <v>390</v>
      </c>
      <c r="AW2209" s="4">
        <v>42776</v>
      </c>
      <c r="BD2209">
        <v>0</v>
      </c>
      <c r="BN2209" t="s">
        <v>74</v>
      </c>
    </row>
    <row r="2210" spans="1:66">
      <c r="A2210">
        <v>106384</v>
      </c>
      <c r="B2210" t="s">
        <v>462</v>
      </c>
      <c r="C2210" s="1">
        <v>43500101</v>
      </c>
      <c r="D2210" t="s">
        <v>98</v>
      </c>
      <c r="H2210" t="str">
        <f t="shared" si="286"/>
        <v>GTTGLG77R15H703L</v>
      </c>
      <c r="I2210" t="str">
        <f t="shared" si="287"/>
        <v>05030100654</v>
      </c>
      <c r="K2210" t="str">
        <f>""</f>
        <v/>
      </c>
      <c r="M2210" t="s">
        <v>68</v>
      </c>
      <c r="N2210" t="str">
        <f t="shared" si="288"/>
        <v>ALTPRO</v>
      </c>
      <c r="O2210" t="s">
        <v>116</v>
      </c>
      <c r="P2210" t="s">
        <v>75</v>
      </c>
      <c r="Q2210">
        <v>2017</v>
      </c>
      <c r="R2210" s="4">
        <v>42744</v>
      </c>
      <c r="S2210" s="2">
        <v>42747</v>
      </c>
      <c r="T2210" s="2">
        <v>42745</v>
      </c>
      <c r="U2210" s="4">
        <v>42805</v>
      </c>
      <c r="V2210" t="s">
        <v>71</v>
      </c>
      <c r="W2210" t="str">
        <f>"                 12E"</f>
        <v xml:space="preserve">                 12E</v>
      </c>
      <c r="X2210" s="1">
        <v>2739.36</v>
      </c>
      <c r="Y2210">
        <v>0</v>
      </c>
      <c r="Z2210" s="5">
        <v>2739.36</v>
      </c>
      <c r="AA2210" s="3">
        <v>-29</v>
      </c>
      <c r="AB2210" s="5">
        <v>-79441.440000000002</v>
      </c>
      <c r="AC2210" s="1">
        <v>2739.36</v>
      </c>
      <c r="AD2210">
        <v>-29</v>
      </c>
      <c r="AE2210" s="1">
        <v>-79441.440000000002</v>
      </c>
      <c r="AF2210">
        <v>0</v>
      </c>
      <c r="AJ2210">
        <v>0</v>
      </c>
      <c r="AK2210" s="1">
        <v>2739.36</v>
      </c>
      <c r="AL2210" s="1">
        <v>2739.36</v>
      </c>
      <c r="AM2210">
        <v>0</v>
      </c>
      <c r="AN2210" s="1">
        <v>2739.36</v>
      </c>
      <c r="AO2210" s="1">
        <v>2739.36</v>
      </c>
      <c r="AP2210" s="2">
        <v>42831</v>
      </c>
      <c r="AQ2210" t="s">
        <v>72</v>
      </c>
      <c r="AR2210" t="s">
        <v>72</v>
      </c>
      <c r="AS2210">
        <v>390</v>
      </c>
      <c r="AT2210" s="4">
        <v>42776</v>
      </c>
      <c r="AV2210">
        <v>390</v>
      </c>
      <c r="AW2210" s="4">
        <v>42776</v>
      </c>
      <c r="BD2210">
        <v>0</v>
      </c>
      <c r="BN2210" t="s">
        <v>74</v>
      </c>
    </row>
    <row r="2211" spans="1:66">
      <c r="A2211">
        <v>106384</v>
      </c>
      <c r="B2211" t="s">
        <v>462</v>
      </c>
      <c r="C2211" s="1">
        <v>43500101</v>
      </c>
      <c r="D2211" t="s">
        <v>98</v>
      </c>
      <c r="H2211" t="str">
        <f t="shared" si="286"/>
        <v>GTTGLG77R15H703L</v>
      </c>
      <c r="I2211" t="str">
        <f t="shared" si="287"/>
        <v>05030100654</v>
      </c>
      <c r="K2211" t="str">
        <f>""</f>
        <v/>
      </c>
      <c r="M2211" t="s">
        <v>68</v>
      </c>
      <c r="N2211" t="str">
        <f t="shared" si="288"/>
        <v>ALTPRO</v>
      </c>
      <c r="O2211" t="s">
        <v>116</v>
      </c>
      <c r="P2211" t="s">
        <v>75</v>
      </c>
      <c r="Q2211">
        <v>2017</v>
      </c>
      <c r="R2211" s="4">
        <v>42744</v>
      </c>
      <c r="S2211" s="2">
        <v>42747</v>
      </c>
      <c r="T2211" s="2">
        <v>42745</v>
      </c>
      <c r="U2211" s="4">
        <v>42805</v>
      </c>
      <c r="V2211" t="s">
        <v>71</v>
      </c>
      <c r="W2211" t="str">
        <f>"                 13E"</f>
        <v xml:space="preserve">                 13E</v>
      </c>
      <c r="X2211" s="1">
        <v>2467.1799999999998</v>
      </c>
      <c r="Y2211">
        <v>0</v>
      </c>
      <c r="Z2211" s="5">
        <v>2467.1799999999998</v>
      </c>
      <c r="AA2211" s="3">
        <v>-29</v>
      </c>
      <c r="AB2211" s="5">
        <v>-71548.22</v>
      </c>
      <c r="AC2211" s="1">
        <v>2467.1799999999998</v>
      </c>
      <c r="AD2211">
        <v>-29</v>
      </c>
      <c r="AE2211" s="1">
        <v>-71548.22</v>
      </c>
      <c r="AF2211">
        <v>0</v>
      </c>
      <c r="AJ2211">
        <v>0</v>
      </c>
      <c r="AK2211" s="1">
        <v>2467.1799999999998</v>
      </c>
      <c r="AL2211" s="1">
        <v>2467.1799999999998</v>
      </c>
      <c r="AM2211">
        <v>0</v>
      </c>
      <c r="AN2211" s="1">
        <v>2467.1799999999998</v>
      </c>
      <c r="AO2211" s="1">
        <v>2467.1799999999998</v>
      </c>
      <c r="AP2211" s="2">
        <v>42831</v>
      </c>
      <c r="AQ2211" t="s">
        <v>72</v>
      </c>
      <c r="AR2211" t="s">
        <v>72</v>
      </c>
      <c r="AS2211">
        <v>390</v>
      </c>
      <c r="AT2211" s="4">
        <v>42776</v>
      </c>
      <c r="AV2211">
        <v>390</v>
      </c>
      <c r="AW2211" s="4">
        <v>42776</v>
      </c>
      <c r="BD2211">
        <v>0</v>
      </c>
      <c r="BN2211" t="s">
        <v>74</v>
      </c>
    </row>
    <row r="2212" spans="1:66">
      <c r="A2212">
        <v>106384</v>
      </c>
      <c r="B2212" t="s">
        <v>462</v>
      </c>
      <c r="C2212" s="1">
        <v>43500101</v>
      </c>
      <c r="D2212" t="s">
        <v>98</v>
      </c>
      <c r="H2212" t="str">
        <f t="shared" si="286"/>
        <v>GTTGLG77R15H703L</v>
      </c>
      <c r="I2212" t="str">
        <f t="shared" si="287"/>
        <v>05030100654</v>
      </c>
      <c r="K2212" t="str">
        <f>""</f>
        <v/>
      </c>
      <c r="M2212" t="s">
        <v>68</v>
      </c>
      <c r="N2212" t="str">
        <f t="shared" si="288"/>
        <v>ALTPRO</v>
      </c>
      <c r="O2212" t="s">
        <v>116</v>
      </c>
      <c r="P2212" t="s">
        <v>75</v>
      </c>
      <c r="Q2212">
        <v>2017</v>
      </c>
      <c r="R2212" s="4">
        <v>42744</v>
      </c>
      <c r="S2212" s="2">
        <v>42747</v>
      </c>
      <c r="T2212" s="2">
        <v>42745</v>
      </c>
      <c r="U2212" s="4">
        <v>42805</v>
      </c>
      <c r="V2212" t="s">
        <v>71</v>
      </c>
      <c r="W2212" t="str">
        <f>"                 14E"</f>
        <v xml:space="preserve">                 14E</v>
      </c>
      <c r="X2212" s="1">
        <v>2467.0100000000002</v>
      </c>
      <c r="Y2212">
        <v>0</v>
      </c>
      <c r="Z2212" s="5">
        <v>2467.0100000000002</v>
      </c>
      <c r="AA2212" s="3">
        <v>-29</v>
      </c>
      <c r="AB2212" s="5">
        <v>-71543.289999999994</v>
      </c>
      <c r="AC2212" s="1">
        <v>2467.0100000000002</v>
      </c>
      <c r="AD2212">
        <v>-29</v>
      </c>
      <c r="AE2212" s="1">
        <v>-71543.289999999994</v>
      </c>
      <c r="AF2212">
        <v>0</v>
      </c>
      <c r="AJ2212">
        <v>0</v>
      </c>
      <c r="AK2212" s="1">
        <v>2467.0100000000002</v>
      </c>
      <c r="AL2212" s="1">
        <v>2467.0100000000002</v>
      </c>
      <c r="AM2212">
        <v>0</v>
      </c>
      <c r="AN2212" s="1">
        <v>2467.0100000000002</v>
      </c>
      <c r="AO2212" s="1">
        <v>2467.0100000000002</v>
      </c>
      <c r="AP2212" s="2">
        <v>42831</v>
      </c>
      <c r="AQ2212" t="s">
        <v>72</v>
      </c>
      <c r="AR2212" t="s">
        <v>72</v>
      </c>
      <c r="AS2212">
        <v>390</v>
      </c>
      <c r="AT2212" s="4">
        <v>42776</v>
      </c>
      <c r="AV2212">
        <v>390</v>
      </c>
      <c r="AW2212" s="4">
        <v>42776</v>
      </c>
      <c r="BD2212">
        <v>0</v>
      </c>
      <c r="BN2212" t="s">
        <v>74</v>
      </c>
    </row>
    <row r="2213" spans="1:66" hidden="1">
      <c r="A2213">
        <v>106392</v>
      </c>
      <c r="B2213" t="s">
        <v>463</v>
      </c>
      <c r="C2213" s="1">
        <v>43500101</v>
      </c>
      <c r="D2213" t="s">
        <v>98</v>
      </c>
      <c r="H2213" t="str">
        <f>"FRRNNT68H65A265R"</f>
        <v>FRRNNT68H65A265R</v>
      </c>
      <c r="I2213" t="str">
        <f>""</f>
        <v/>
      </c>
      <c r="K2213" t="str">
        <f>""</f>
        <v/>
      </c>
      <c r="M2213" t="s">
        <v>68</v>
      </c>
      <c r="N2213" t="str">
        <f>"ALT"</f>
        <v>ALT</v>
      </c>
      <c r="O2213" t="s">
        <v>99</v>
      </c>
      <c r="P2213" t="s">
        <v>82</v>
      </c>
      <c r="Q2213">
        <v>2017</v>
      </c>
      <c r="R2213" s="4">
        <v>42755</v>
      </c>
      <c r="S2213" s="2">
        <v>42755</v>
      </c>
      <c r="T2213" s="2">
        <v>42755</v>
      </c>
      <c r="U2213" s="4">
        <v>42815</v>
      </c>
      <c r="V2213" t="s">
        <v>71</v>
      </c>
      <c r="W2213" t="str">
        <f>"                0120"</f>
        <v xml:space="preserve">                0120</v>
      </c>
      <c r="X2213">
        <v>0</v>
      </c>
      <c r="Y2213">
        <v>320</v>
      </c>
      <c r="Z2213" s="3">
        <v>320</v>
      </c>
      <c r="AA2213" s="3">
        <v>-57</v>
      </c>
      <c r="AB2213" s="5">
        <v>-18240</v>
      </c>
      <c r="AC2213">
        <v>320</v>
      </c>
      <c r="AD2213">
        <v>-57</v>
      </c>
      <c r="AE2213" s="1">
        <v>-18240</v>
      </c>
      <c r="AF2213">
        <v>0</v>
      </c>
      <c r="AJ2213">
        <v>320</v>
      </c>
      <c r="AK2213">
        <v>320</v>
      </c>
      <c r="AL2213">
        <v>320</v>
      </c>
      <c r="AM2213">
        <v>320</v>
      </c>
      <c r="AN2213">
        <v>320</v>
      </c>
      <c r="AO2213">
        <v>320</v>
      </c>
      <c r="AP2213" s="2">
        <v>42831</v>
      </c>
      <c r="AQ2213" t="s">
        <v>72</v>
      </c>
      <c r="AR2213" t="s">
        <v>72</v>
      </c>
      <c r="AS2213">
        <v>78</v>
      </c>
      <c r="AT2213" s="4">
        <v>42758</v>
      </c>
      <c r="AV2213">
        <v>78</v>
      </c>
      <c r="AW2213" s="4">
        <v>42758</v>
      </c>
      <c r="BD2213">
        <v>0</v>
      </c>
      <c r="BN2213" t="s">
        <v>74</v>
      </c>
    </row>
    <row r="2214" spans="1:66" hidden="1">
      <c r="A2214">
        <v>106392</v>
      </c>
      <c r="B2214" t="s">
        <v>463</v>
      </c>
      <c r="C2214" s="1">
        <v>43500101</v>
      </c>
      <c r="D2214" t="s">
        <v>98</v>
      </c>
      <c r="H2214" t="str">
        <f>"FRRNNT68H65A265R"</f>
        <v>FRRNNT68H65A265R</v>
      </c>
      <c r="I2214" t="str">
        <f>""</f>
        <v/>
      </c>
      <c r="K2214" t="str">
        <f>""</f>
        <v/>
      </c>
      <c r="M2214" t="s">
        <v>68</v>
      </c>
      <c r="N2214" t="str">
        <f>"ALT"</f>
        <v>ALT</v>
      </c>
      <c r="O2214" t="s">
        <v>99</v>
      </c>
      <c r="P2214" t="s">
        <v>83</v>
      </c>
      <c r="Q2214">
        <v>2017</v>
      </c>
      <c r="R2214" s="4">
        <v>42786</v>
      </c>
      <c r="S2214" s="2">
        <v>42787</v>
      </c>
      <c r="T2214" s="2">
        <v>42787</v>
      </c>
      <c r="U2214" s="4">
        <v>42847</v>
      </c>
      <c r="V2214" t="s">
        <v>71</v>
      </c>
      <c r="W2214" t="str">
        <f>"                0220"</f>
        <v xml:space="preserve">                0220</v>
      </c>
      <c r="X2214">
        <v>0</v>
      </c>
      <c r="Y2214">
        <v>320</v>
      </c>
      <c r="Z2214" s="3">
        <v>320</v>
      </c>
      <c r="AA2214" s="3">
        <v>-60</v>
      </c>
      <c r="AB2214" s="5">
        <v>-19200</v>
      </c>
      <c r="AC2214">
        <v>320</v>
      </c>
      <c r="AD2214">
        <v>-60</v>
      </c>
      <c r="AE2214" s="1">
        <v>-19200</v>
      </c>
      <c r="AF2214">
        <v>0</v>
      </c>
      <c r="AJ2214">
        <v>320</v>
      </c>
      <c r="AK2214">
        <v>320</v>
      </c>
      <c r="AL2214">
        <v>320</v>
      </c>
      <c r="AM2214">
        <v>320</v>
      </c>
      <c r="AN2214">
        <v>320</v>
      </c>
      <c r="AO2214">
        <v>320</v>
      </c>
      <c r="AP2214" s="2">
        <v>42831</v>
      </c>
      <c r="AQ2214" t="s">
        <v>72</v>
      </c>
      <c r="AR2214" t="s">
        <v>72</v>
      </c>
      <c r="AS2214">
        <v>558</v>
      </c>
      <c r="AT2214" s="4">
        <v>42787</v>
      </c>
      <c r="AV2214">
        <v>558</v>
      </c>
      <c r="AW2214" s="4">
        <v>42787</v>
      </c>
      <c r="BD2214">
        <v>0</v>
      </c>
      <c r="BN2214" t="s">
        <v>74</v>
      </c>
    </row>
    <row r="2215" spans="1:66" hidden="1">
      <c r="A2215">
        <v>106392</v>
      </c>
      <c r="B2215" t="s">
        <v>463</v>
      </c>
      <c r="C2215" s="1">
        <v>43500101</v>
      </c>
      <c r="D2215" t="s">
        <v>98</v>
      </c>
      <c r="H2215" t="str">
        <f>"FRRNNT68H65A265R"</f>
        <v>FRRNNT68H65A265R</v>
      </c>
      <c r="I2215" t="str">
        <f>""</f>
        <v/>
      </c>
      <c r="K2215" t="str">
        <f>""</f>
        <v/>
      </c>
      <c r="M2215" t="s">
        <v>68</v>
      </c>
      <c r="N2215" t="str">
        <f>"ALT"</f>
        <v>ALT</v>
      </c>
      <c r="O2215" t="s">
        <v>99</v>
      </c>
      <c r="P2215" t="s">
        <v>84</v>
      </c>
      <c r="Q2215">
        <v>2017</v>
      </c>
      <c r="R2215" s="4">
        <v>42815</v>
      </c>
      <c r="S2215" s="2">
        <v>42815</v>
      </c>
      <c r="T2215" s="2">
        <v>42815</v>
      </c>
      <c r="U2215" s="4">
        <v>42875</v>
      </c>
      <c r="V2215" t="s">
        <v>71</v>
      </c>
      <c r="W2215" t="str">
        <f>"                0321"</f>
        <v xml:space="preserve">                0321</v>
      </c>
      <c r="X2215">
        <v>0</v>
      </c>
      <c r="Y2215">
        <v>320</v>
      </c>
      <c r="Z2215" s="3">
        <v>320</v>
      </c>
      <c r="AA2215" s="3">
        <v>-60</v>
      </c>
      <c r="AB2215" s="5">
        <v>-19200</v>
      </c>
      <c r="AC2215">
        <v>320</v>
      </c>
      <c r="AD2215">
        <v>-60</v>
      </c>
      <c r="AE2215" s="1">
        <v>-19200</v>
      </c>
      <c r="AF2215">
        <v>0</v>
      </c>
      <c r="AJ2215">
        <v>320</v>
      </c>
      <c r="AK2215">
        <v>320</v>
      </c>
      <c r="AL2215">
        <v>320</v>
      </c>
      <c r="AM2215">
        <v>320</v>
      </c>
      <c r="AN2215">
        <v>320</v>
      </c>
      <c r="AO2215">
        <v>320</v>
      </c>
      <c r="AP2215" s="2">
        <v>42831</v>
      </c>
      <c r="AQ2215" t="s">
        <v>72</v>
      </c>
      <c r="AR2215" t="s">
        <v>72</v>
      </c>
      <c r="AS2215">
        <v>855</v>
      </c>
      <c r="AT2215" s="4">
        <v>42815</v>
      </c>
      <c r="AV2215">
        <v>855</v>
      </c>
      <c r="AW2215" s="4">
        <v>42815</v>
      </c>
      <c r="BD2215">
        <v>0</v>
      </c>
      <c r="BN2215" t="s">
        <v>74</v>
      </c>
    </row>
    <row r="2216" spans="1:66">
      <c r="A2216">
        <v>106404</v>
      </c>
      <c r="B2216" t="s">
        <v>464</v>
      </c>
      <c r="C2216" s="1">
        <v>43300101</v>
      </c>
      <c r="D2216" t="s">
        <v>67</v>
      </c>
      <c r="H2216" t="str">
        <f t="shared" ref="H2216:I2220" si="289">"02368591208"</f>
        <v>02368591208</v>
      </c>
      <c r="I2216" t="str">
        <f t="shared" si="289"/>
        <v>02368591208</v>
      </c>
      <c r="K2216" t="str">
        <f>""</f>
        <v/>
      </c>
      <c r="M2216" t="s">
        <v>68</v>
      </c>
      <c r="N2216" t="str">
        <f>"FOR"</f>
        <v>FOR</v>
      </c>
      <c r="O2216" t="s">
        <v>69</v>
      </c>
      <c r="P2216" t="s">
        <v>75</v>
      </c>
      <c r="Q2216">
        <v>2016</v>
      </c>
      <c r="R2216" s="4">
        <v>42677</v>
      </c>
      <c r="S2216" s="2">
        <v>42683</v>
      </c>
      <c r="T2216" s="2">
        <v>42678</v>
      </c>
      <c r="U2216" s="4">
        <v>42738</v>
      </c>
      <c r="V2216" t="s">
        <v>71</v>
      </c>
      <c r="W2216" t="str">
        <f>"          8100039684"</f>
        <v xml:space="preserve">          8100039684</v>
      </c>
      <c r="X2216" s="1">
        <v>9140.85</v>
      </c>
      <c r="Y2216">
        <v>0</v>
      </c>
      <c r="Z2216" s="5">
        <v>7492.5</v>
      </c>
      <c r="AA2216" s="3">
        <v>37</v>
      </c>
      <c r="AB2216" s="5">
        <v>277222.5</v>
      </c>
      <c r="AC2216" s="1">
        <v>7492.5</v>
      </c>
      <c r="AD2216">
        <v>37</v>
      </c>
      <c r="AE2216" s="1">
        <v>277222.5</v>
      </c>
      <c r="AF2216">
        <v>0</v>
      </c>
      <c r="AJ2216">
        <v>0</v>
      </c>
      <c r="AK2216">
        <v>0</v>
      </c>
      <c r="AL2216">
        <v>0</v>
      </c>
      <c r="AM2216">
        <v>0</v>
      </c>
      <c r="AN2216">
        <v>0</v>
      </c>
      <c r="AO2216">
        <v>0</v>
      </c>
      <c r="AP2216" s="2">
        <v>42831</v>
      </c>
      <c r="AQ2216" t="s">
        <v>72</v>
      </c>
      <c r="AR2216" t="s">
        <v>72</v>
      </c>
      <c r="AS2216">
        <v>375</v>
      </c>
      <c r="AT2216" s="4">
        <v>42775</v>
      </c>
      <c r="AU2216" t="s">
        <v>73</v>
      </c>
      <c r="AV2216">
        <v>375</v>
      </c>
      <c r="AW2216" s="4">
        <v>42775</v>
      </c>
      <c r="BD2216">
        <v>0</v>
      </c>
      <c r="BN2216" t="s">
        <v>74</v>
      </c>
    </row>
    <row r="2217" spans="1:66">
      <c r="A2217">
        <v>106404</v>
      </c>
      <c r="B2217" t="s">
        <v>464</v>
      </c>
      <c r="C2217" s="1">
        <v>43300101</v>
      </c>
      <c r="D2217" t="s">
        <v>67</v>
      </c>
      <c r="H2217" t="str">
        <f t="shared" si="289"/>
        <v>02368591208</v>
      </c>
      <c r="I2217" t="str">
        <f t="shared" si="289"/>
        <v>02368591208</v>
      </c>
      <c r="K2217" t="str">
        <f>""</f>
        <v/>
      </c>
      <c r="M2217" t="s">
        <v>68</v>
      </c>
      <c r="N2217" t="str">
        <f>"FOR"</f>
        <v>FOR</v>
      </c>
      <c r="O2217" t="s">
        <v>69</v>
      </c>
      <c r="P2217" t="s">
        <v>75</v>
      </c>
      <c r="Q2217">
        <v>2016</v>
      </c>
      <c r="R2217" s="4">
        <v>42678</v>
      </c>
      <c r="S2217" s="2">
        <v>42683</v>
      </c>
      <c r="T2217" s="2">
        <v>42681</v>
      </c>
      <c r="U2217" s="4">
        <v>42741</v>
      </c>
      <c r="V2217" t="s">
        <v>71</v>
      </c>
      <c r="W2217" t="str">
        <f>"          8100039827"</f>
        <v xml:space="preserve">          8100039827</v>
      </c>
      <c r="X2217" s="1">
        <v>8721.5400000000009</v>
      </c>
      <c r="Y2217">
        <v>0</v>
      </c>
      <c r="Z2217" s="5">
        <v>7148.8</v>
      </c>
      <c r="AA2217" s="3">
        <v>34</v>
      </c>
      <c r="AB2217" s="5">
        <v>243059.20000000001</v>
      </c>
      <c r="AC2217" s="1">
        <v>7148.8</v>
      </c>
      <c r="AD2217">
        <v>34</v>
      </c>
      <c r="AE2217" s="1">
        <v>243059.20000000001</v>
      </c>
      <c r="AF2217">
        <v>0</v>
      </c>
      <c r="AJ2217">
        <v>0</v>
      </c>
      <c r="AK2217">
        <v>0</v>
      </c>
      <c r="AL2217">
        <v>0</v>
      </c>
      <c r="AM2217">
        <v>0</v>
      </c>
      <c r="AN2217">
        <v>0</v>
      </c>
      <c r="AO2217">
        <v>0</v>
      </c>
      <c r="AP2217" s="2">
        <v>42831</v>
      </c>
      <c r="AQ2217" t="s">
        <v>72</v>
      </c>
      <c r="AR2217" t="s">
        <v>72</v>
      </c>
      <c r="AS2217">
        <v>375</v>
      </c>
      <c r="AT2217" s="4">
        <v>42775</v>
      </c>
      <c r="AU2217" t="s">
        <v>73</v>
      </c>
      <c r="AV2217">
        <v>375</v>
      </c>
      <c r="AW2217" s="4">
        <v>42775</v>
      </c>
      <c r="BD2217">
        <v>0</v>
      </c>
      <c r="BN2217" t="s">
        <v>74</v>
      </c>
    </row>
    <row r="2218" spans="1:66">
      <c r="A2218">
        <v>106404</v>
      </c>
      <c r="B2218" t="s">
        <v>464</v>
      </c>
      <c r="C2218" s="1">
        <v>43300101</v>
      </c>
      <c r="D2218" t="s">
        <v>67</v>
      </c>
      <c r="H2218" t="str">
        <f t="shared" si="289"/>
        <v>02368591208</v>
      </c>
      <c r="I2218" t="str">
        <f t="shared" si="289"/>
        <v>02368591208</v>
      </c>
      <c r="K2218" t="str">
        <f>""</f>
        <v/>
      </c>
      <c r="M2218" t="s">
        <v>68</v>
      </c>
      <c r="N2218" t="str">
        <f>"FOR"</f>
        <v>FOR</v>
      </c>
      <c r="O2218" t="s">
        <v>69</v>
      </c>
      <c r="P2218" t="s">
        <v>75</v>
      </c>
      <c r="Q2218">
        <v>2016</v>
      </c>
      <c r="R2218" s="4">
        <v>42685</v>
      </c>
      <c r="S2218" s="2">
        <v>42690</v>
      </c>
      <c r="T2218" s="2">
        <v>42688</v>
      </c>
      <c r="U2218" s="4">
        <v>42748</v>
      </c>
      <c r="V2218" t="s">
        <v>71</v>
      </c>
      <c r="W2218" t="str">
        <f>"          8100040228"</f>
        <v xml:space="preserve">          8100040228</v>
      </c>
      <c r="X2218">
        <v>32.700000000000003</v>
      </c>
      <c r="Y2218">
        <v>0</v>
      </c>
      <c r="Z2218" s="5">
        <v>26.8</v>
      </c>
      <c r="AA2218" s="3">
        <v>27</v>
      </c>
      <c r="AB2218" s="3">
        <v>723.6</v>
      </c>
      <c r="AC2218">
        <v>26.8</v>
      </c>
      <c r="AD2218">
        <v>27</v>
      </c>
      <c r="AE2218">
        <v>723.6</v>
      </c>
      <c r="AF2218">
        <v>0</v>
      </c>
      <c r="AJ2218">
        <v>0</v>
      </c>
      <c r="AK2218">
        <v>0</v>
      </c>
      <c r="AL2218">
        <v>0</v>
      </c>
      <c r="AM2218">
        <v>0</v>
      </c>
      <c r="AN2218">
        <v>0</v>
      </c>
      <c r="AO2218">
        <v>0</v>
      </c>
      <c r="AP2218" s="2">
        <v>42831</v>
      </c>
      <c r="AQ2218" t="s">
        <v>72</v>
      </c>
      <c r="AR2218" t="s">
        <v>72</v>
      </c>
      <c r="AS2218">
        <v>375</v>
      </c>
      <c r="AT2218" s="4">
        <v>42775</v>
      </c>
      <c r="AU2218" t="s">
        <v>73</v>
      </c>
      <c r="AV2218">
        <v>375</v>
      </c>
      <c r="AW2218" s="4">
        <v>42775</v>
      </c>
      <c r="BD2218">
        <v>0</v>
      </c>
      <c r="BN2218" t="s">
        <v>74</v>
      </c>
    </row>
    <row r="2219" spans="1:66">
      <c r="A2219">
        <v>106404</v>
      </c>
      <c r="B2219" t="s">
        <v>464</v>
      </c>
      <c r="C2219" s="1">
        <v>43300101</v>
      </c>
      <c r="D2219" t="s">
        <v>67</v>
      </c>
      <c r="H2219" t="str">
        <f t="shared" si="289"/>
        <v>02368591208</v>
      </c>
      <c r="I2219" t="str">
        <f t="shared" si="289"/>
        <v>02368591208</v>
      </c>
      <c r="K2219" t="str">
        <f>""</f>
        <v/>
      </c>
      <c r="M2219" t="s">
        <v>68</v>
      </c>
      <c r="N2219" t="str">
        <f>"FOR"</f>
        <v>FOR</v>
      </c>
      <c r="O2219" t="s">
        <v>69</v>
      </c>
      <c r="P2219" t="s">
        <v>75</v>
      </c>
      <c r="Q2219">
        <v>2016</v>
      </c>
      <c r="R2219" s="4">
        <v>42711</v>
      </c>
      <c r="S2219" s="2">
        <v>42718</v>
      </c>
      <c r="T2219" s="2">
        <v>42713</v>
      </c>
      <c r="U2219" s="4">
        <v>42773</v>
      </c>
      <c r="V2219" t="s">
        <v>71</v>
      </c>
      <c r="W2219" t="str">
        <f>"          8100041994"</f>
        <v xml:space="preserve">          8100041994</v>
      </c>
      <c r="X2219" s="1">
        <v>12810.06</v>
      </c>
      <c r="Y2219">
        <v>0</v>
      </c>
      <c r="Z2219" s="5">
        <v>10500.05</v>
      </c>
      <c r="AA2219" s="3">
        <v>28</v>
      </c>
      <c r="AB2219" s="5">
        <v>294001.40000000002</v>
      </c>
      <c r="AC2219" s="1">
        <v>10500.05</v>
      </c>
      <c r="AD2219">
        <v>28</v>
      </c>
      <c r="AE2219" s="1">
        <v>294001.40000000002</v>
      </c>
      <c r="AF2219" s="1">
        <v>2310.0100000000002</v>
      </c>
      <c r="AJ2219">
        <v>0</v>
      </c>
      <c r="AK2219">
        <v>0</v>
      </c>
      <c r="AL2219">
        <v>0</v>
      </c>
      <c r="AM2219">
        <v>0</v>
      </c>
      <c r="AN2219">
        <v>0</v>
      </c>
      <c r="AO2219">
        <v>0</v>
      </c>
      <c r="AP2219" s="2">
        <v>42831</v>
      </c>
      <c r="AQ2219" t="s">
        <v>72</v>
      </c>
      <c r="AR2219" t="s">
        <v>72</v>
      </c>
      <c r="AS2219">
        <v>741</v>
      </c>
      <c r="AT2219" s="4">
        <v>42801</v>
      </c>
      <c r="AU2219" t="s">
        <v>73</v>
      </c>
      <c r="AV2219">
        <v>741</v>
      </c>
      <c r="AW2219" s="4">
        <v>42801</v>
      </c>
      <c r="AY2219" s="1">
        <v>2310.0100000000002</v>
      </c>
      <c r="BD2219">
        <v>0</v>
      </c>
      <c r="BN2219" t="s">
        <v>74</v>
      </c>
    </row>
    <row r="2220" spans="1:66">
      <c r="A2220">
        <v>106404</v>
      </c>
      <c r="B2220" t="s">
        <v>464</v>
      </c>
      <c r="C2220" s="1">
        <v>43300101</v>
      </c>
      <c r="D2220" t="s">
        <v>67</v>
      </c>
      <c r="H2220" t="str">
        <f t="shared" si="289"/>
        <v>02368591208</v>
      </c>
      <c r="I2220" t="str">
        <f t="shared" si="289"/>
        <v>02368591208</v>
      </c>
      <c r="K2220" t="str">
        <f>""</f>
        <v/>
      </c>
      <c r="M2220" t="s">
        <v>68</v>
      </c>
      <c r="N2220" t="str">
        <f>"FOR"</f>
        <v>FOR</v>
      </c>
      <c r="O2220" t="s">
        <v>69</v>
      </c>
      <c r="P2220" t="s">
        <v>75</v>
      </c>
      <c r="Q2220">
        <v>2016</v>
      </c>
      <c r="R2220" s="4">
        <v>42717</v>
      </c>
      <c r="S2220" s="2">
        <v>42718</v>
      </c>
      <c r="T2220" s="2">
        <v>42718</v>
      </c>
      <c r="U2220" s="4">
        <v>42778</v>
      </c>
      <c r="V2220" t="s">
        <v>71</v>
      </c>
      <c r="W2220" t="str">
        <f>"          8100042222"</f>
        <v xml:space="preserve">          8100042222</v>
      </c>
      <c r="X2220">
        <v>32.700000000000003</v>
      </c>
      <c r="Y2220">
        <v>0</v>
      </c>
      <c r="Z2220" s="5">
        <v>26.8</v>
      </c>
      <c r="AA2220" s="3">
        <v>-3</v>
      </c>
      <c r="AB2220" s="3">
        <v>-80.400000000000006</v>
      </c>
      <c r="AC2220">
        <v>26.8</v>
      </c>
      <c r="AD2220">
        <v>-3</v>
      </c>
      <c r="AE2220">
        <v>-80.400000000000006</v>
      </c>
      <c r="AF2220">
        <v>0</v>
      </c>
      <c r="AJ2220">
        <v>0</v>
      </c>
      <c r="AK2220">
        <v>0</v>
      </c>
      <c r="AL2220">
        <v>0</v>
      </c>
      <c r="AM2220">
        <v>0</v>
      </c>
      <c r="AN2220">
        <v>0</v>
      </c>
      <c r="AO2220">
        <v>0</v>
      </c>
      <c r="AP2220" s="2">
        <v>42831</v>
      </c>
      <c r="AQ2220" t="s">
        <v>72</v>
      </c>
      <c r="AR2220" t="s">
        <v>72</v>
      </c>
      <c r="AS2220">
        <v>375</v>
      </c>
      <c r="AT2220" s="4">
        <v>42775</v>
      </c>
      <c r="AV2220">
        <v>375</v>
      </c>
      <c r="AW2220" s="4">
        <v>42775</v>
      </c>
      <c r="BD2220">
        <v>0</v>
      </c>
      <c r="BN2220" t="s">
        <v>74</v>
      </c>
    </row>
    <row r="2221" spans="1:66" hidden="1">
      <c r="A2221">
        <v>106410</v>
      </c>
      <c r="B2221" t="s">
        <v>465</v>
      </c>
      <c r="C2221" s="1">
        <v>43500101</v>
      </c>
      <c r="D2221" t="s">
        <v>98</v>
      </c>
      <c r="H2221" t="str">
        <f>"97761890587"</f>
        <v>97761890587</v>
      </c>
      <c r="I2221" t="str">
        <f>""</f>
        <v/>
      </c>
      <c r="K2221" t="str">
        <f>""</f>
        <v/>
      </c>
      <c r="M2221" t="s">
        <v>68</v>
      </c>
      <c r="N2221" t="str">
        <f t="shared" ref="N2221:N2226" si="290">"ALT"</f>
        <v>ALT</v>
      </c>
      <c r="O2221" t="s">
        <v>99</v>
      </c>
      <c r="P2221" t="s">
        <v>82</v>
      </c>
      <c r="Q2221">
        <v>2017</v>
      </c>
      <c r="R2221" s="4">
        <v>42755</v>
      </c>
      <c r="S2221" s="2">
        <v>42755</v>
      </c>
      <c r="T2221" s="2">
        <v>42755</v>
      </c>
      <c r="U2221" s="4">
        <v>42815</v>
      </c>
      <c r="V2221" t="s">
        <v>71</v>
      </c>
      <c r="W2221" t="str">
        <f>"                0120"</f>
        <v xml:space="preserve">                0120</v>
      </c>
      <c r="X2221">
        <v>0</v>
      </c>
      <c r="Y2221">
        <v>30</v>
      </c>
      <c r="Z2221" s="3">
        <v>30</v>
      </c>
      <c r="AA2221" s="3">
        <v>-57</v>
      </c>
      <c r="AB2221" s="5">
        <v>-1710</v>
      </c>
      <c r="AC2221">
        <v>30</v>
      </c>
      <c r="AD2221">
        <v>-57</v>
      </c>
      <c r="AE2221" s="1">
        <v>-1710</v>
      </c>
      <c r="AF2221">
        <v>0</v>
      </c>
      <c r="AJ2221">
        <v>30</v>
      </c>
      <c r="AK2221">
        <v>30</v>
      </c>
      <c r="AL2221">
        <v>30</v>
      </c>
      <c r="AM2221">
        <v>30</v>
      </c>
      <c r="AN2221">
        <v>30</v>
      </c>
      <c r="AO2221">
        <v>30</v>
      </c>
      <c r="AP2221" s="2">
        <v>42831</v>
      </c>
      <c r="AQ2221" t="s">
        <v>72</v>
      </c>
      <c r="AR2221" t="s">
        <v>72</v>
      </c>
      <c r="AS2221">
        <v>98</v>
      </c>
      <c r="AT2221" s="4">
        <v>42758</v>
      </c>
      <c r="AV2221">
        <v>98</v>
      </c>
      <c r="AW2221" s="4">
        <v>42758</v>
      </c>
      <c r="BD2221">
        <v>0</v>
      </c>
      <c r="BN2221" t="s">
        <v>74</v>
      </c>
    </row>
    <row r="2222" spans="1:66" hidden="1">
      <c r="A2222">
        <v>106410</v>
      </c>
      <c r="B2222" t="s">
        <v>465</v>
      </c>
      <c r="C2222" s="1">
        <v>43500101</v>
      </c>
      <c r="D2222" t="s">
        <v>98</v>
      </c>
      <c r="H2222" t="str">
        <f>"97761890587"</f>
        <v>97761890587</v>
      </c>
      <c r="I2222" t="str">
        <f>""</f>
        <v/>
      </c>
      <c r="K2222" t="str">
        <f>""</f>
        <v/>
      </c>
      <c r="M2222" t="s">
        <v>68</v>
      </c>
      <c r="N2222" t="str">
        <f t="shared" si="290"/>
        <v>ALT</v>
      </c>
      <c r="O2222" t="s">
        <v>99</v>
      </c>
      <c r="P2222" t="s">
        <v>83</v>
      </c>
      <c r="Q2222">
        <v>2017</v>
      </c>
      <c r="R2222" s="4">
        <v>42786</v>
      </c>
      <c r="S2222" s="2">
        <v>42787</v>
      </c>
      <c r="T2222" s="2">
        <v>42787</v>
      </c>
      <c r="U2222" s="4">
        <v>42847</v>
      </c>
      <c r="V2222" t="s">
        <v>71</v>
      </c>
      <c r="W2222" t="str">
        <f>"                0220"</f>
        <v xml:space="preserve">                0220</v>
      </c>
      <c r="X2222">
        <v>0</v>
      </c>
      <c r="Y2222">
        <v>30</v>
      </c>
      <c r="Z2222" s="3">
        <v>30</v>
      </c>
      <c r="AA2222" s="3">
        <v>-60</v>
      </c>
      <c r="AB2222" s="5">
        <v>-1800</v>
      </c>
      <c r="AC2222">
        <v>30</v>
      </c>
      <c r="AD2222">
        <v>-60</v>
      </c>
      <c r="AE2222" s="1">
        <v>-1800</v>
      </c>
      <c r="AF2222">
        <v>0</v>
      </c>
      <c r="AJ2222">
        <v>30</v>
      </c>
      <c r="AK2222">
        <v>30</v>
      </c>
      <c r="AL2222">
        <v>30</v>
      </c>
      <c r="AM2222">
        <v>30</v>
      </c>
      <c r="AN2222">
        <v>30</v>
      </c>
      <c r="AO2222">
        <v>30</v>
      </c>
      <c r="AP2222" s="2">
        <v>42831</v>
      </c>
      <c r="AQ2222" t="s">
        <v>72</v>
      </c>
      <c r="AR2222" t="s">
        <v>72</v>
      </c>
      <c r="AS2222">
        <v>578</v>
      </c>
      <c r="AT2222" s="4">
        <v>42787</v>
      </c>
      <c r="AV2222">
        <v>578</v>
      </c>
      <c r="AW2222" s="4">
        <v>42787</v>
      </c>
      <c r="BD2222">
        <v>0</v>
      </c>
      <c r="BN2222" t="s">
        <v>74</v>
      </c>
    </row>
    <row r="2223" spans="1:66" hidden="1">
      <c r="A2223">
        <v>106410</v>
      </c>
      <c r="B2223" t="s">
        <v>465</v>
      </c>
      <c r="C2223" s="1">
        <v>43500101</v>
      </c>
      <c r="D2223" t="s">
        <v>98</v>
      </c>
      <c r="H2223" t="str">
        <f>"97761890587"</f>
        <v>97761890587</v>
      </c>
      <c r="I2223" t="str">
        <f>""</f>
        <v/>
      </c>
      <c r="K2223" t="str">
        <f>""</f>
        <v/>
      </c>
      <c r="M2223" t="s">
        <v>68</v>
      </c>
      <c r="N2223" t="str">
        <f t="shared" si="290"/>
        <v>ALT</v>
      </c>
      <c r="O2223" t="s">
        <v>99</v>
      </c>
      <c r="P2223" t="s">
        <v>84</v>
      </c>
      <c r="Q2223">
        <v>2017</v>
      </c>
      <c r="R2223" s="4">
        <v>42815</v>
      </c>
      <c r="S2223" s="2">
        <v>42815</v>
      </c>
      <c r="T2223" s="2">
        <v>42815</v>
      </c>
      <c r="U2223" s="4">
        <v>42875</v>
      </c>
      <c r="V2223" t="s">
        <v>71</v>
      </c>
      <c r="W2223" t="str">
        <f>"                0321"</f>
        <v xml:space="preserve">                0321</v>
      </c>
      <c r="X2223">
        <v>0</v>
      </c>
      <c r="Y2223">
        <v>30</v>
      </c>
      <c r="Z2223" s="3">
        <v>30</v>
      </c>
      <c r="AA2223" s="3">
        <v>-60</v>
      </c>
      <c r="AB2223" s="5">
        <v>-1800</v>
      </c>
      <c r="AC2223">
        <v>30</v>
      </c>
      <c r="AD2223">
        <v>-60</v>
      </c>
      <c r="AE2223" s="1">
        <v>-1800</v>
      </c>
      <c r="AF2223">
        <v>0</v>
      </c>
      <c r="AJ2223">
        <v>30</v>
      </c>
      <c r="AK2223">
        <v>30</v>
      </c>
      <c r="AL2223">
        <v>30</v>
      </c>
      <c r="AM2223">
        <v>30</v>
      </c>
      <c r="AN2223">
        <v>30</v>
      </c>
      <c r="AO2223">
        <v>30</v>
      </c>
      <c r="AP2223" s="2">
        <v>42831</v>
      </c>
      <c r="AQ2223" t="s">
        <v>72</v>
      </c>
      <c r="AR2223" t="s">
        <v>72</v>
      </c>
      <c r="AS2223">
        <v>876</v>
      </c>
      <c r="AT2223" s="4">
        <v>42815</v>
      </c>
      <c r="AV2223">
        <v>876</v>
      </c>
      <c r="AW2223" s="4">
        <v>42815</v>
      </c>
      <c r="BD2223">
        <v>0</v>
      </c>
      <c r="BN2223" t="s">
        <v>74</v>
      </c>
    </row>
    <row r="2224" spans="1:66" hidden="1">
      <c r="A2224">
        <v>106413</v>
      </c>
      <c r="B2224" t="s">
        <v>466</v>
      </c>
      <c r="C2224" s="1">
        <v>43500101</v>
      </c>
      <c r="D2224" t="s">
        <v>98</v>
      </c>
      <c r="H2224" t="str">
        <f>"97660520582"</f>
        <v>97660520582</v>
      </c>
      <c r="I2224" t="str">
        <f>""</f>
        <v/>
      </c>
      <c r="K2224" t="str">
        <f>""</f>
        <v/>
      </c>
      <c r="M2224" t="s">
        <v>68</v>
      </c>
      <c r="N2224" t="str">
        <f t="shared" si="290"/>
        <v>ALT</v>
      </c>
      <c r="O2224" t="s">
        <v>99</v>
      </c>
      <c r="P2224" t="s">
        <v>467</v>
      </c>
      <c r="Q2224">
        <v>2016</v>
      </c>
      <c r="R2224" s="4">
        <v>42717</v>
      </c>
      <c r="S2224" s="2">
        <v>42717</v>
      </c>
      <c r="T2224" s="2">
        <v>42717</v>
      </c>
      <c r="U2224" s="4">
        <v>42777</v>
      </c>
      <c r="V2224" t="s">
        <v>71</v>
      </c>
      <c r="W2224" t="str">
        <f>"                1213"</f>
        <v xml:space="preserve">                1213</v>
      </c>
      <c r="X2224">
        <v>0</v>
      </c>
      <c r="Y2224">
        <v>255.59</v>
      </c>
      <c r="Z2224" s="3">
        <v>255.59</v>
      </c>
      <c r="AA2224" s="3">
        <v>-23</v>
      </c>
      <c r="AB2224" s="5">
        <v>-5878.57</v>
      </c>
      <c r="AC2224">
        <v>255.59</v>
      </c>
      <c r="AD2224">
        <v>-23</v>
      </c>
      <c r="AE2224" s="1">
        <v>-5878.57</v>
      </c>
      <c r="AF2224">
        <v>0</v>
      </c>
      <c r="AJ2224">
        <v>0</v>
      </c>
      <c r="AK2224">
        <v>0</v>
      </c>
      <c r="AL2224">
        <v>0</v>
      </c>
      <c r="AM2224">
        <v>0</v>
      </c>
      <c r="AN2224">
        <v>0</v>
      </c>
      <c r="AO2224">
        <v>0</v>
      </c>
      <c r="AP2224" s="2">
        <v>42831</v>
      </c>
      <c r="AQ2224" t="s">
        <v>72</v>
      </c>
      <c r="AR2224" t="s">
        <v>72</v>
      </c>
      <c r="AS2224">
        <v>8</v>
      </c>
      <c r="AT2224" s="4">
        <v>42754</v>
      </c>
      <c r="AV2224">
        <v>14</v>
      </c>
      <c r="AW2224" s="4">
        <v>42754</v>
      </c>
      <c r="BD2224">
        <v>0</v>
      </c>
      <c r="BN2224" t="s">
        <v>74</v>
      </c>
    </row>
    <row r="2225" spans="1:66" hidden="1">
      <c r="A2225">
        <v>106413</v>
      </c>
      <c r="B2225" t="s">
        <v>466</v>
      </c>
      <c r="C2225" s="1">
        <v>43500101</v>
      </c>
      <c r="D2225" t="s">
        <v>98</v>
      </c>
      <c r="H2225" t="str">
        <f>"97660520582"</f>
        <v>97660520582</v>
      </c>
      <c r="I2225" t="str">
        <f>""</f>
        <v/>
      </c>
      <c r="K2225" t="str">
        <f>""</f>
        <v/>
      </c>
      <c r="M2225" t="s">
        <v>68</v>
      </c>
      <c r="N2225" t="str">
        <f t="shared" si="290"/>
        <v>ALT</v>
      </c>
      <c r="O2225" t="s">
        <v>99</v>
      </c>
      <c r="P2225" t="s">
        <v>82</v>
      </c>
      <c r="Q2225">
        <v>2017</v>
      </c>
      <c r="R2225" s="4">
        <v>42755</v>
      </c>
      <c r="S2225" s="2">
        <v>42755</v>
      </c>
      <c r="T2225" s="2">
        <v>42755</v>
      </c>
      <c r="U2225" s="4">
        <v>42815</v>
      </c>
      <c r="V2225" t="s">
        <v>71</v>
      </c>
      <c r="W2225" t="str">
        <f>"                0120"</f>
        <v xml:space="preserve">                0120</v>
      </c>
      <c r="X2225">
        <v>0</v>
      </c>
      <c r="Y2225">
        <v>127.8</v>
      </c>
      <c r="Z2225" s="3">
        <v>127.8</v>
      </c>
      <c r="AA2225" s="3">
        <v>-34</v>
      </c>
      <c r="AB2225" s="5">
        <v>-4287.5200000000004</v>
      </c>
      <c r="AC2225">
        <v>127.8</v>
      </c>
      <c r="AD2225">
        <v>-34</v>
      </c>
      <c r="AE2225" s="1">
        <v>-4287.5200000000004</v>
      </c>
      <c r="AF2225">
        <v>0</v>
      </c>
      <c r="AJ2225">
        <v>127.8</v>
      </c>
      <c r="AK2225">
        <v>127.8</v>
      </c>
      <c r="AL2225">
        <v>127.8</v>
      </c>
      <c r="AM2225">
        <v>127.8</v>
      </c>
      <c r="AN2225">
        <v>127.8</v>
      </c>
      <c r="AO2225">
        <v>127.8</v>
      </c>
      <c r="AP2225" s="2">
        <v>42831</v>
      </c>
      <c r="AQ2225" t="s">
        <v>72</v>
      </c>
      <c r="AR2225" t="s">
        <v>72</v>
      </c>
      <c r="AS2225">
        <v>443</v>
      </c>
      <c r="AT2225" s="4">
        <v>42781</v>
      </c>
      <c r="AV2225">
        <v>682</v>
      </c>
      <c r="AW2225" s="4">
        <v>42795</v>
      </c>
      <c r="BD2225">
        <v>0</v>
      </c>
      <c r="BN2225" t="s">
        <v>74</v>
      </c>
    </row>
    <row r="2226" spans="1:66" hidden="1">
      <c r="A2226">
        <v>106413</v>
      </c>
      <c r="B2226" t="s">
        <v>466</v>
      </c>
      <c r="C2226" s="1">
        <v>43500101</v>
      </c>
      <c r="D2226" t="s">
        <v>98</v>
      </c>
      <c r="H2226" t="str">
        <f>"97660520582"</f>
        <v>97660520582</v>
      </c>
      <c r="I2226" t="str">
        <f>""</f>
        <v/>
      </c>
      <c r="K2226" t="str">
        <f>""</f>
        <v/>
      </c>
      <c r="M2226" t="s">
        <v>68</v>
      </c>
      <c r="N2226" t="str">
        <f t="shared" si="290"/>
        <v>ALT</v>
      </c>
      <c r="O2226" t="s">
        <v>99</v>
      </c>
      <c r="P2226" t="s">
        <v>83</v>
      </c>
      <c r="Q2226">
        <v>2017</v>
      </c>
      <c r="R2226" s="4">
        <v>42786</v>
      </c>
      <c r="S2226" s="2">
        <v>42787</v>
      </c>
      <c r="T2226" s="2">
        <v>42787</v>
      </c>
      <c r="U2226" s="4">
        <v>42847</v>
      </c>
      <c r="V2226" t="s">
        <v>71</v>
      </c>
      <c r="W2226" t="str">
        <f>"                0220"</f>
        <v xml:space="preserve">                0220</v>
      </c>
      <c r="X2226">
        <v>0</v>
      </c>
      <c r="Y2226">
        <v>127.78</v>
      </c>
      <c r="Z2226" s="3">
        <v>127.78</v>
      </c>
      <c r="AA2226" s="3">
        <v>-37</v>
      </c>
      <c r="AB2226" s="5">
        <v>-4727.8599999999997</v>
      </c>
      <c r="AC2226">
        <v>127.78</v>
      </c>
      <c r="AD2226">
        <v>-37</v>
      </c>
      <c r="AE2226" s="1">
        <v>-4727.8599999999997</v>
      </c>
      <c r="AF2226">
        <v>0</v>
      </c>
      <c r="AJ2226">
        <v>127.78</v>
      </c>
      <c r="AK2226">
        <v>127.78</v>
      </c>
      <c r="AL2226">
        <v>127.78</v>
      </c>
      <c r="AM2226">
        <v>127.78</v>
      </c>
      <c r="AN2226">
        <v>127.78</v>
      </c>
      <c r="AO2226">
        <v>127.78</v>
      </c>
      <c r="AP2226" s="2">
        <v>42831</v>
      </c>
      <c r="AQ2226" t="s">
        <v>72</v>
      </c>
      <c r="AR2226" t="s">
        <v>72</v>
      </c>
      <c r="AS2226">
        <v>783</v>
      </c>
      <c r="AT2226" s="4">
        <v>42810</v>
      </c>
      <c r="AV2226">
        <v>790</v>
      </c>
      <c r="AW2226" s="4">
        <v>42810</v>
      </c>
      <c r="BD2226">
        <v>0</v>
      </c>
      <c r="BN2226" t="s">
        <v>74</v>
      </c>
    </row>
    <row r="2227" spans="1:66">
      <c r="A2227">
        <v>106420</v>
      </c>
      <c r="B2227" t="s">
        <v>468</v>
      </c>
      <c r="C2227" s="1">
        <v>43500101</v>
      </c>
      <c r="D2227" t="s">
        <v>98</v>
      </c>
      <c r="H2227" t="str">
        <f>"NNCMRC87D03A783C"</f>
        <v>NNCMRC87D03A783C</v>
      </c>
      <c r="I2227" t="str">
        <f>"01532510623"</f>
        <v>01532510623</v>
      </c>
      <c r="K2227" t="str">
        <f>""</f>
        <v/>
      </c>
      <c r="M2227" t="s">
        <v>68</v>
      </c>
      <c r="N2227" t="str">
        <f>"ALTPRO"</f>
        <v>ALTPRO</v>
      </c>
      <c r="O2227" t="s">
        <v>116</v>
      </c>
      <c r="P2227" t="s">
        <v>75</v>
      </c>
      <c r="Q2227">
        <v>2017</v>
      </c>
      <c r="R2227" s="4">
        <v>42744</v>
      </c>
      <c r="S2227" s="2">
        <v>42747</v>
      </c>
      <c r="T2227" s="2">
        <v>42744</v>
      </c>
      <c r="U2227" s="4">
        <v>42804</v>
      </c>
      <c r="V2227" t="s">
        <v>71</v>
      </c>
      <c r="W2227" t="str">
        <f>"         FATTPA 1_17"</f>
        <v xml:space="preserve">         FATTPA 1_17</v>
      </c>
      <c r="X2227">
        <v>948.24</v>
      </c>
      <c r="Y2227">
        <v>-189.65</v>
      </c>
      <c r="Z2227" s="5">
        <v>758.59</v>
      </c>
      <c r="AA2227" s="3">
        <v>-39</v>
      </c>
      <c r="AB2227" s="5">
        <v>-29585.01</v>
      </c>
      <c r="AC2227">
        <v>758.59</v>
      </c>
      <c r="AD2227">
        <v>-39</v>
      </c>
      <c r="AE2227" s="1">
        <v>-29585.01</v>
      </c>
      <c r="AF2227">
        <v>0</v>
      </c>
      <c r="AJ2227">
        <v>-189.65</v>
      </c>
      <c r="AK2227">
        <v>758.59</v>
      </c>
      <c r="AL2227">
        <v>758.59</v>
      </c>
      <c r="AM2227">
        <v>-189.65</v>
      </c>
      <c r="AN2227">
        <v>758.59</v>
      </c>
      <c r="AO2227">
        <v>758.59</v>
      </c>
      <c r="AP2227" s="2">
        <v>42831</v>
      </c>
      <c r="AQ2227" t="s">
        <v>72</v>
      </c>
      <c r="AR2227" t="s">
        <v>72</v>
      </c>
      <c r="AS2227">
        <v>131</v>
      </c>
      <c r="AT2227" s="4">
        <v>42765</v>
      </c>
      <c r="AV2227">
        <v>131</v>
      </c>
      <c r="AW2227" s="4">
        <v>42765</v>
      </c>
      <c r="BD2227">
        <v>0</v>
      </c>
      <c r="BN2227" t="s">
        <v>74</v>
      </c>
    </row>
    <row r="2228" spans="1:66">
      <c r="A2228">
        <v>106420</v>
      </c>
      <c r="B2228" t="s">
        <v>468</v>
      </c>
      <c r="C2228" s="1">
        <v>43500101</v>
      </c>
      <c r="D2228" t="s">
        <v>98</v>
      </c>
      <c r="H2228" t="str">
        <f>"NNCMRC87D03A783C"</f>
        <v>NNCMRC87D03A783C</v>
      </c>
      <c r="I2228" t="str">
        <f>"01532510623"</f>
        <v>01532510623</v>
      </c>
      <c r="K2228" t="str">
        <f>""</f>
        <v/>
      </c>
      <c r="M2228" t="s">
        <v>68</v>
      </c>
      <c r="N2228" t="str">
        <f>"ALTPRO"</f>
        <v>ALTPRO</v>
      </c>
      <c r="O2228" t="s">
        <v>116</v>
      </c>
      <c r="P2228" t="s">
        <v>75</v>
      </c>
      <c r="Q2228">
        <v>2017</v>
      </c>
      <c r="R2228" s="4">
        <v>42775</v>
      </c>
      <c r="S2228" s="2">
        <v>42775</v>
      </c>
      <c r="T2228" s="2">
        <v>42775</v>
      </c>
      <c r="U2228" s="4">
        <v>42835</v>
      </c>
      <c r="V2228" t="s">
        <v>71</v>
      </c>
      <c r="W2228" t="str">
        <f>"         FATTPA 2_17"</f>
        <v xml:space="preserve">         FATTPA 2_17</v>
      </c>
      <c r="X2228">
        <v>878</v>
      </c>
      <c r="Y2228">
        <v>-175.6</v>
      </c>
      <c r="Z2228" s="5">
        <v>702.4</v>
      </c>
      <c r="AA2228" s="3">
        <v>-59</v>
      </c>
      <c r="AB2228" s="5">
        <v>-41441.599999999999</v>
      </c>
      <c r="AC2228">
        <v>702.4</v>
      </c>
      <c r="AD2228">
        <v>-59</v>
      </c>
      <c r="AE2228" s="1">
        <v>-41441.599999999999</v>
      </c>
      <c r="AF2228">
        <v>0</v>
      </c>
      <c r="AJ2228">
        <v>702.4</v>
      </c>
      <c r="AK2228">
        <v>702.4</v>
      </c>
      <c r="AL2228">
        <v>702.4</v>
      </c>
      <c r="AM2228">
        <v>702.4</v>
      </c>
      <c r="AN2228">
        <v>702.4</v>
      </c>
      <c r="AO2228">
        <v>702.4</v>
      </c>
      <c r="AP2228" s="2">
        <v>42831</v>
      </c>
      <c r="AQ2228" t="s">
        <v>72</v>
      </c>
      <c r="AR2228" t="s">
        <v>72</v>
      </c>
      <c r="AS2228">
        <v>394</v>
      </c>
      <c r="AT2228" s="4">
        <v>42776</v>
      </c>
      <c r="AV2228">
        <v>394</v>
      </c>
      <c r="AW2228" s="4">
        <v>42776</v>
      </c>
      <c r="BD2228">
        <v>0</v>
      </c>
      <c r="BN2228" t="s">
        <v>74</v>
      </c>
    </row>
    <row r="2229" spans="1:66">
      <c r="A2229">
        <v>106420</v>
      </c>
      <c r="B2229" t="s">
        <v>468</v>
      </c>
      <c r="C2229" s="1">
        <v>43500101</v>
      </c>
      <c r="D2229" t="s">
        <v>98</v>
      </c>
      <c r="H2229" t="str">
        <f>"NNCMRC87D03A783C"</f>
        <v>NNCMRC87D03A783C</v>
      </c>
      <c r="I2229" t="str">
        <f>"01532510623"</f>
        <v>01532510623</v>
      </c>
      <c r="K2229" t="str">
        <f>""</f>
        <v/>
      </c>
      <c r="M2229" t="s">
        <v>68</v>
      </c>
      <c r="N2229" t="str">
        <f>"ALTPRO"</f>
        <v>ALTPRO</v>
      </c>
      <c r="O2229" t="s">
        <v>116</v>
      </c>
      <c r="P2229" t="s">
        <v>75</v>
      </c>
      <c r="Q2229">
        <v>2017</v>
      </c>
      <c r="R2229" s="4">
        <v>42795</v>
      </c>
      <c r="S2229" s="2">
        <v>42796</v>
      </c>
      <c r="T2229" s="2">
        <v>42795</v>
      </c>
      <c r="U2229" s="4">
        <v>42855</v>
      </c>
      <c r="V2229" t="s">
        <v>71</v>
      </c>
      <c r="W2229" t="str">
        <f>"         FATTPA 3_17"</f>
        <v xml:space="preserve">         FATTPA 3_17</v>
      </c>
      <c r="X2229" s="1">
        <v>1246.76</v>
      </c>
      <c r="Y2229">
        <v>-249.35</v>
      </c>
      <c r="Z2229" s="5">
        <v>997.41</v>
      </c>
      <c r="AA2229" s="3">
        <v>-59</v>
      </c>
      <c r="AB2229" s="5">
        <v>-58847.19</v>
      </c>
      <c r="AC2229">
        <v>997.41</v>
      </c>
      <c r="AD2229">
        <v>-59</v>
      </c>
      <c r="AE2229" s="1">
        <v>-58847.19</v>
      </c>
      <c r="AF2229">
        <v>0</v>
      </c>
      <c r="AJ2229">
        <v>997.41</v>
      </c>
      <c r="AK2229">
        <v>997.41</v>
      </c>
      <c r="AL2229">
        <v>997.41</v>
      </c>
      <c r="AM2229">
        <v>997.41</v>
      </c>
      <c r="AN2229">
        <v>997.41</v>
      </c>
      <c r="AO2229">
        <v>997.41</v>
      </c>
      <c r="AP2229" s="2">
        <v>42831</v>
      </c>
      <c r="AQ2229" t="s">
        <v>72</v>
      </c>
      <c r="AR2229" t="s">
        <v>72</v>
      </c>
      <c r="AS2229">
        <v>694</v>
      </c>
      <c r="AT2229" s="4">
        <v>42796</v>
      </c>
      <c r="AV2229">
        <v>694</v>
      </c>
      <c r="AW2229" s="4">
        <v>42796</v>
      </c>
      <c r="BD2229">
        <v>0</v>
      </c>
      <c r="BN2229" t="s">
        <v>74</v>
      </c>
    </row>
    <row r="2230" spans="1:66">
      <c r="A2230">
        <v>106425</v>
      </c>
      <c r="B2230" t="s">
        <v>469</v>
      </c>
      <c r="C2230" s="1">
        <v>43500101</v>
      </c>
      <c r="D2230" t="s">
        <v>98</v>
      </c>
      <c r="H2230" t="str">
        <f>"PCLMHL79P52A783Q"</f>
        <v>PCLMHL79P52A783Q</v>
      </c>
      <c r="I2230" t="str">
        <f>"01587790625"</f>
        <v>01587790625</v>
      </c>
      <c r="K2230" t="str">
        <f>""</f>
        <v/>
      </c>
      <c r="M2230" t="s">
        <v>68</v>
      </c>
      <c r="N2230" t="str">
        <f>"ALTPRO"</f>
        <v>ALTPRO</v>
      </c>
      <c r="O2230" t="s">
        <v>116</v>
      </c>
      <c r="P2230" t="s">
        <v>75</v>
      </c>
      <c r="Q2230">
        <v>2017</v>
      </c>
      <c r="R2230" s="4">
        <v>42746</v>
      </c>
      <c r="S2230" s="2">
        <v>42748</v>
      </c>
      <c r="T2230" s="2">
        <v>42747</v>
      </c>
      <c r="U2230" s="4">
        <v>42807</v>
      </c>
      <c r="V2230" t="s">
        <v>71</v>
      </c>
      <c r="W2230" t="str">
        <f>"         FATTPA 1_17"</f>
        <v xml:space="preserve">         FATTPA 1_17</v>
      </c>
      <c r="X2230">
        <v>702.41</v>
      </c>
      <c r="Y2230">
        <v>0</v>
      </c>
      <c r="Z2230" s="5">
        <v>702.41</v>
      </c>
      <c r="AA2230" s="3">
        <v>-42</v>
      </c>
      <c r="AB2230" s="5">
        <v>-29501.22</v>
      </c>
      <c r="AC2230">
        <v>702.41</v>
      </c>
      <c r="AD2230">
        <v>-42</v>
      </c>
      <c r="AE2230" s="1">
        <v>-29501.22</v>
      </c>
      <c r="AF2230">
        <v>0</v>
      </c>
      <c r="AJ2230">
        <v>702.41</v>
      </c>
      <c r="AK2230">
        <v>702.41</v>
      </c>
      <c r="AL2230">
        <v>702.41</v>
      </c>
      <c r="AM2230">
        <v>702.41</v>
      </c>
      <c r="AN2230">
        <v>702.41</v>
      </c>
      <c r="AO2230">
        <v>702.41</v>
      </c>
      <c r="AP2230" s="2">
        <v>42831</v>
      </c>
      <c r="AQ2230" t="s">
        <v>72</v>
      </c>
      <c r="AR2230" t="s">
        <v>72</v>
      </c>
      <c r="AS2230">
        <v>144</v>
      </c>
      <c r="AT2230" s="4">
        <v>42765</v>
      </c>
      <c r="AV2230">
        <v>144</v>
      </c>
      <c r="AW2230" s="4">
        <v>42765</v>
      </c>
      <c r="BD2230">
        <v>0</v>
      </c>
      <c r="BN2230" t="s">
        <v>74</v>
      </c>
    </row>
    <row r="2231" spans="1:66">
      <c r="A2231">
        <v>106425</v>
      </c>
      <c r="B2231" t="s">
        <v>469</v>
      </c>
      <c r="C2231" s="1">
        <v>43500101</v>
      </c>
      <c r="D2231" t="s">
        <v>98</v>
      </c>
      <c r="H2231" t="str">
        <f>"PCLMHL79P52A783Q"</f>
        <v>PCLMHL79P52A783Q</v>
      </c>
      <c r="I2231" t="str">
        <f>"01587790625"</f>
        <v>01587790625</v>
      </c>
      <c r="K2231" t="str">
        <f>""</f>
        <v/>
      </c>
      <c r="M2231" t="s">
        <v>68</v>
      </c>
      <c r="N2231" t="str">
        <f>"ALTPRO"</f>
        <v>ALTPRO</v>
      </c>
      <c r="O2231" t="s">
        <v>116</v>
      </c>
      <c r="P2231" t="s">
        <v>75</v>
      </c>
      <c r="Q2231">
        <v>2017</v>
      </c>
      <c r="R2231" s="4">
        <v>42762</v>
      </c>
      <c r="S2231" s="2">
        <v>42762</v>
      </c>
      <c r="T2231" s="2">
        <v>42762</v>
      </c>
      <c r="U2231" s="4">
        <v>42822</v>
      </c>
      <c r="V2231" t="s">
        <v>71</v>
      </c>
      <c r="W2231" t="str">
        <f>"         FATTPA 2_17"</f>
        <v xml:space="preserve">         FATTPA 2_17</v>
      </c>
      <c r="X2231">
        <v>632.16</v>
      </c>
      <c r="Y2231">
        <v>0</v>
      </c>
      <c r="Z2231" s="5">
        <v>632.16</v>
      </c>
      <c r="AA2231" s="3">
        <v>-42</v>
      </c>
      <c r="AB2231" s="5">
        <v>-26550.720000000001</v>
      </c>
      <c r="AC2231">
        <v>632.16</v>
      </c>
      <c r="AD2231">
        <v>-42</v>
      </c>
      <c r="AE2231" s="1">
        <v>-26550.720000000001</v>
      </c>
      <c r="AF2231">
        <v>0</v>
      </c>
      <c r="AJ2231">
        <v>632.16</v>
      </c>
      <c r="AK2231">
        <v>632.16</v>
      </c>
      <c r="AL2231">
        <v>632.16</v>
      </c>
      <c r="AM2231">
        <v>632.16</v>
      </c>
      <c r="AN2231">
        <v>632.16</v>
      </c>
      <c r="AO2231">
        <v>632.16</v>
      </c>
      <c r="AP2231" s="2">
        <v>42831</v>
      </c>
      <c r="AQ2231" t="s">
        <v>72</v>
      </c>
      <c r="AR2231" t="s">
        <v>72</v>
      </c>
      <c r="AS2231">
        <v>429</v>
      </c>
      <c r="AT2231" s="4">
        <v>42780</v>
      </c>
      <c r="AV2231">
        <v>429</v>
      </c>
      <c r="AW2231" s="4">
        <v>42780</v>
      </c>
      <c r="BD2231">
        <v>0</v>
      </c>
      <c r="BN2231" t="s">
        <v>74</v>
      </c>
    </row>
    <row r="2232" spans="1:66">
      <c r="A2232">
        <v>106440</v>
      </c>
      <c r="B2232" t="s">
        <v>470</v>
      </c>
      <c r="C2232" s="1">
        <v>43300101</v>
      </c>
      <c r="D2232" t="s">
        <v>67</v>
      </c>
      <c r="H2232" t="str">
        <f t="shared" ref="H2232:I2235" si="291">"06912570964"</f>
        <v>06912570964</v>
      </c>
      <c r="I2232" t="str">
        <f t="shared" si="291"/>
        <v>06912570964</v>
      </c>
      <c r="K2232" t="str">
        <f>""</f>
        <v/>
      </c>
      <c r="M2232" t="s">
        <v>68</v>
      </c>
      <c r="N2232" t="str">
        <f>"FOR"</f>
        <v>FOR</v>
      </c>
      <c r="O2232" t="s">
        <v>69</v>
      </c>
      <c r="P2232" t="s">
        <v>75</v>
      </c>
      <c r="Q2232">
        <v>2016</v>
      </c>
      <c r="R2232" s="4">
        <v>42653</v>
      </c>
      <c r="S2232" s="2">
        <v>42654</v>
      </c>
      <c r="T2232" s="2">
        <v>42653</v>
      </c>
      <c r="U2232" s="4">
        <v>42713</v>
      </c>
      <c r="V2232" t="s">
        <v>71</v>
      </c>
      <c r="W2232" t="str">
        <f>"            93946293"</f>
        <v xml:space="preserve">            93946293</v>
      </c>
      <c r="X2232" s="1">
        <v>1111.42</v>
      </c>
      <c r="Y2232">
        <v>0</v>
      </c>
      <c r="Z2232" s="5">
        <v>911</v>
      </c>
      <c r="AA2232" s="3">
        <v>69</v>
      </c>
      <c r="AB2232" s="5">
        <v>62859</v>
      </c>
      <c r="AC2232">
        <v>911</v>
      </c>
      <c r="AD2232">
        <v>69</v>
      </c>
      <c r="AE2232" s="1">
        <v>62859</v>
      </c>
      <c r="AF2232">
        <v>0</v>
      </c>
      <c r="AJ2232">
        <v>0</v>
      </c>
      <c r="AK2232">
        <v>0</v>
      </c>
      <c r="AL2232">
        <v>0</v>
      </c>
      <c r="AM2232">
        <v>0</v>
      </c>
      <c r="AN2232">
        <v>0</v>
      </c>
      <c r="AO2232">
        <v>0</v>
      </c>
      <c r="AP2232" s="2">
        <v>42831</v>
      </c>
      <c r="AQ2232" t="s">
        <v>72</v>
      </c>
      <c r="AR2232" t="s">
        <v>72</v>
      </c>
      <c r="AS2232">
        <v>462</v>
      </c>
      <c r="AT2232" s="4">
        <v>42782</v>
      </c>
      <c r="AU2232" t="s">
        <v>73</v>
      </c>
      <c r="AV2232">
        <v>462</v>
      </c>
      <c r="AW2232" s="4">
        <v>42782</v>
      </c>
      <c r="BD2232">
        <v>0</v>
      </c>
      <c r="BN2232" t="s">
        <v>74</v>
      </c>
    </row>
    <row r="2233" spans="1:66">
      <c r="A2233">
        <v>106440</v>
      </c>
      <c r="B2233" t="s">
        <v>470</v>
      </c>
      <c r="C2233" s="1">
        <v>43300101</v>
      </c>
      <c r="D2233" t="s">
        <v>67</v>
      </c>
      <c r="H2233" t="str">
        <f t="shared" si="291"/>
        <v>06912570964</v>
      </c>
      <c r="I2233" t="str">
        <f t="shared" si="291"/>
        <v>06912570964</v>
      </c>
      <c r="K2233" t="str">
        <f>""</f>
        <v/>
      </c>
      <c r="M2233" t="s">
        <v>68</v>
      </c>
      <c r="N2233" t="str">
        <f>"FOR"</f>
        <v>FOR</v>
      </c>
      <c r="O2233" t="s">
        <v>69</v>
      </c>
      <c r="P2233" t="s">
        <v>75</v>
      </c>
      <c r="Q2233">
        <v>2016</v>
      </c>
      <c r="R2233" s="4">
        <v>42657</v>
      </c>
      <c r="S2233" s="2">
        <v>42660</v>
      </c>
      <c r="T2233" s="2">
        <v>42657</v>
      </c>
      <c r="U2233" s="4">
        <v>42717</v>
      </c>
      <c r="V2233" t="s">
        <v>71</v>
      </c>
      <c r="W2233" t="str">
        <f>"            93956618"</f>
        <v xml:space="preserve">            93956618</v>
      </c>
      <c r="X2233">
        <v>902.8</v>
      </c>
      <c r="Y2233">
        <v>0</v>
      </c>
      <c r="Z2233" s="5">
        <v>740</v>
      </c>
      <c r="AA2233" s="3">
        <v>66</v>
      </c>
      <c r="AB2233" s="5">
        <v>48840</v>
      </c>
      <c r="AC2233">
        <v>740</v>
      </c>
      <c r="AD2233">
        <v>66</v>
      </c>
      <c r="AE2233" s="1">
        <v>48840</v>
      </c>
      <c r="AF2233">
        <v>0</v>
      </c>
      <c r="AJ2233">
        <v>0</v>
      </c>
      <c r="AK2233">
        <v>0</v>
      </c>
      <c r="AL2233">
        <v>0</v>
      </c>
      <c r="AM2233">
        <v>0</v>
      </c>
      <c r="AN2233">
        <v>0</v>
      </c>
      <c r="AO2233">
        <v>0</v>
      </c>
      <c r="AP2233" s="2">
        <v>42831</v>
      </c>
      <c r="AQ2233" t="s">
        <v>72</v>
      </c>
      <c r="AR2233" t="s">
        <v>72</v>
      </c>
      <c r="AS2233">
        <v>494</v>
      </c>
      <c r="AT2233" s="4">
        <v>42783</v>
      </c>
      <c r="AU2233" t="s">
        <v>73</v>
      </c>
      <c r="AV2233">
        <v>494</v>
      </c>
      <c r="AW2233" s="4">
        <v>42783</v>
      </c>
      <c r="BD2233">
        <v>0</v>
      </c>
      <c r="BN2233" t="s">
        <v>74</v>
      </c>
    </row>
    <row r="2234" spans="1:66">
      <c r="A2234">
        <v>106440</v>
      </c>
      <c r="B2234" t="s">
        <v>470</v>
      </c>
      <c r="C2234" s="1">
        <v>43300101</v>
      </c>
      <c r="D2234" t="s">
        <v>67</v>
      </c>
      <c r="H2234" t="str">
        <f t="shared" si="291"/>
        <v>06912570964</v>
      </c>
      <c r="I2234" t="str">
        <f t="shared" si="291"/>
        <v>06912570964</v>
      </c>
      <c r="K2234" t="str">
        <f>""</f>
        <v/>
      </c>
      <c r="M2234" t="s">
        <v>68</v>
      </c>
      <c r="N2234" t="str">
        <f>"FOR"</f>
        <v>FOR</v>
      </c>
      <c r="O2234" t="s">
        <v>69</v>
      </c>
      <c r="P2234" t="s">
        <v>75</v>
      </c>
      <c r="Q2234">
        <v>2016</v>
      </c>
      <c r="R2234" s="4">
        <v>42710</v>
      </c>
      <c r="S2234" s="2">
        <v>42711</v>
      </c>
      <c r="T2234" s="2">
        <v>42711</v>
      </c>
      <c r="U2234" s="4">
        <v>42771</v>
      </c>
      <c r="V2234" t="s">
        <v>71</v>
      </c>
      <c r="W2234" t="str">
        <f>"            94048209"</f>
        <v xml:space="preserve">            94048209</v>
      </c>
      <c r="X2234" s="1">
        <v>2196</v>
      </c>
      <c r="Y2234">
        <v>0</v>
      </c>
      <c r="Z2234" s="5">
        <v>1800</v>
      </c>
      <c r="AA2234" s="3">
        <v>12</v>
      </c>
      <c r="AB2234" s="5">
        <v>21600</v>
      </c>
      <c r="AC2234" s="1">
        <v>1800</v>
      </c>
      <c r="AD2234">
        <v>12</v>
      </c>
      <c r="AE2234" s="1">
        <v>21600</v>
      </c>
      <c r="AF2234">
        <v>0</v>
      </c>
      <c r="AJ2234">
        <v>0</v>
      </c>
      <c r="AK2234">
        <v>0</v>
      </c>
      <c r="AL2234">
        <v>0</v>
      </c>
      <c r="AM2234">
        <v>0</v>
      </c>
      <c r="AN2234">
        <v>0</v>
      </c>
      <c r="AO2234">
        <v>0</v>
      </c>
      <c r="AP2234" s="2">
        <v>42831</v>
      </c>
      <c r="AQ2234" t="s">
        <v>72</v>
      </c>
      <c r="AR2234" t="s">
        <v>72</v>
      </c>
      <c r="AS2234">
        <v>494</v>
      </c>
      <c r="AT2234" s="4">
        <v>42783</v>
      </c>
      <c r="AU2234" t="s">
        <v>73</v>
      </c>
      <c r="AV2234">
        <v>494</v>
      </c>
      <c r="AW2234" s="4">
        <v>42783</v>
      </c>
      <c r="BD2234">
        <v>0</v>
      </c>
      <c r="BN2234" t="s">
        <v>74</v>
      </c>
    </row>
    <row r="2235" spans="1:66">
      <c r="A2235">
        <v>106440</v>
      </c>
      <c r="B2235" t="s">
        <v>470</v>
      </c>
      <c r="C2235" s="1">
        <v>43300101</v>
      </c>
      <c r="D2235" t="s">
        <v>67</v>
      </c>
      <c r="H2235" t="str">
        <f t="shared" si="291"/>
        <v>06912570964</v>
      </c>
      <c r="I2235" t="str">
        <f t="shared" si="291"/>
        <v>06912570964</v>
      </c>
      <c r="K2235" t="str">
        <f>""</f>
        <v/>
      </c>
      <c r="M2235" t="s">
        <v>68</v>
      </c>
      <c r="N2235" t="str">
        <f>"FOR"</f>
        <v>FOR</v>
      </c>
      <c r="O2235" t="s">
        <v>69</v>
      </c>
      <c r="P2235" t="s">
        <v>75</v>
      </c>
      <c r="Q2235">
        <v>2016</v>
      </c>
      <c r="R2235" s="4">
        <v>42723</v>
      </c>
      <c r="S2235" s="2">
        <v>42725</v>
      </c>
      <c r="T2235" s="2">
        <v>42723</v>
      </c>
      <c r="U2235" s="4">
        <v>42783</v>
      </c>
      <c r="V2235" t="s">
        <v>71</v>
      </c>
      <c r="W2235" t="str">
        <f>"            94071301"</f>
        <v xml:space="preserve">            94071301</v>
      </c>
      <c r="X2235">
        <v>732</v>
      </c>
      <c r="Y2235">
        <v>0</v>
      </c>
      <c r="Z2235" s="5">
        <v>600</v>
      </c>
      <c r="AB2235" s="3">
        <v>0</v>
      </c>
      <c r="AC2235">
        <v>600</v>
      </c>
      <c r="AE2235">
        <v>0</v>
      </c>
      <c r="AF2235">
        <v>0</v>
      </c>
      <c r="AJ2235">
        <v>0</v>
      </c>
      <c r="AK2235">
        <v>0</v>
      </c>
      <c r="AL2235">
        <v>0</v>
      </c>
      <c r="AM2235">
        <v>0</v>
      </c>
      <c r="AN2235">
        <v>0</v>
      </c>
      <c r="AO2235">
        <v>0</v>
      </c>
      <c r="AP2235" s="2">
        <v>42831</v>
      </c>
      <c r="AQ2235" t="s">
        <v>72</v>
      </c>
      <c r="AR2235" t="s">
        <v>72</v>
      </c>
      <c r="AS2235">
        <v>494</v>
      </c>
      <c r="AT2235" s="4">
        <v>42783</v>
      </c>
      <c r="AV2235">
        <v>494</v>
      </c>
      <c r="AW2235" s="4">
        <v>42783</v>
      </c>
      <c r="BD2235">
        <v>0</v>
      </c>
      <c r="BN2235" t="s">
        <v>74</v>
      </c>
    </row>
    <row r="2236" spans="1:66">
      <c r="A2236">
        <v>106457</v>
      </c>
      <c r="B2236" t="s">
        <v>471</v>
      </c>
      <c r="C2236" s="1">
        <v>43500101</v>
      </c>
      <c r="D2236" t="s">
        <v>98</v>
      </c>
      <c r="H2236" t="str">
        <f>"CPNSNT75B56A509R"</f>
        <v>CPNSNT75B56A509R</v>
      </c>
      <c r="I2236" t="str">
        <f>"02761340641"</f>
        <v>02761340641</v>
      </c>
      <c r="K2236" t="str">
        <f>""</f>
        <v/>
      </c>
      <c r="M2236" t="s">
        <v>68</v>
      </c>
      <c r="N2236" t="str">
        <f>"ALTPRO"</f>
        <v>ALTPRO</v>
      </c>
      <c r="O2236" t="s">
        <v>116</v>
      </c>
      <c r="P2236" t="s">
        <v>75</v>
      </c>
      <c r="Q2236">
        <v>2017</v>
      </c>
      <c r="R2236" s="4">
        <v>42744</v>
      </c>
      <c r="S2236" s="2">
        <v>42802</v>
      </c>
      <c r="T2236" s="2">
        <v>42802</v>
      </c>
      <c r="U2236" s="4">
        <v>42862</v>
      </c>
      <c r="V2236" t="s">
        <v>71</v>
      </c>
      <c r="W2236" t="str">
        <f>"         FATTPA 1_17"</f>
        <v xml:space="preserve">         FATTPA 1_17</v>
      </c>
      <c r="X2236" s="1">
        <v>1475.04</v>
      </c>
      <c r="Y2236">
        <v>-295.01</v>
      </c>
      <c r="Z2236" s="5">
        <v>1180.03</v>
      </c>
      <c r="AA2236" s="3">
        <v>-59</v>
      </c>
      <c r="AB2236" s="5">
        <v>-69621.77</v>
      </c>
      <c r="AC2236" s="1">
        <v>1180.03</v>
      </c>
      <c r="AD2236">
        <v>-59</v>
      </c>
      <c r="AE2236" s="1">
        <v>-69621.77</v>
      </c>
      <c r="AF2236">
        <v>0</v>
      </c>
      <c r="AJ2236">
        <v>-295.01</v>
      </c>
      <c r="AK2236" s="1">
        <v>1180.03</v>
      </c>
      <c r="AL2236" s="1">
        <v>1180.03</v>
      </c>
      <c r="AM2236">
        <v>-295.01</v>
      </c>
      <c r="AN2236" s="1">
        <v>1180.03</v>
      </c>
      <c r="AO2236" s="1">
        <v>1180.03</v>
      </c>
      <c r="AP2236" s="2">
        <v>42831</v>
      </c>
      <c r="AQ2236" t="s">
        <v>72</v>
      </c>
      <c r="AR2236" t="s">
        <v>72</v>
      </c>
      <c r="AS2236">
        <v>750</v>
      </c>
      <c r="AT2236" s="4">
        <v>42803</v>
      </c>
      <c r="AV2236">
        <v>750</v>
      </c>
      <c r="AW2236" s="4">
        <v>42803</v>
      </c>
      <c r="BD2236">
        <v>0</v>
      </c>
      <c r="BN2236" t="s">
        <v>74</v>
      </c>
    </row>
    <row r="2237" spans="1:66">
      <c r="A2237">
        <v>106457</v>
      </c>
      <c r="B2237" t="s">
        <v>471</v>
      </c>
      <c r="C2237" s="1">
        <v>43500101</v>
      </c>
      <c r="D2237" t="s">
        <v>98</v>
      </c>
      <c r="H2237" t="str">
        <f>"CPNSNT75B56A509R"</f>
        <v>CPNSNT75B56A509R</v>
      </c>
      <c r="I2237" t="str">
        <f>"02761340641"</f>
        <v>02761340641</v>
      </c>
      <c r="K2237" t="str">
        <f>""</f>
        <v/>
      </c>
      <c r="M2237" t="s">
        <v>68</v>
      </c>
      <c r="N2237" t="str">
        <f>"ALTPRO"</f>
        <v>ALTPRO</v>
      </c>
      <c r="O2237" t="s">
        <v>116</v>
      </c>
      <c r="P2237" t="s">
        <v>75</v>
      </c>
      <c r="Q2237">
        <v>2017</v>
      </c>
      <c r="R2237" s="4">
        <v>42802</v>
      </c>
      <c r="S2237" s="2">
        <v>42802</v>
      </c>
      <c r="T2237" s="2">
        <v>42802</v>
      </c>
      <c r="U2237" s="4">
        <v>42862</v>
      </c>
      <c r="V2237" t="s">
        <v>71</v>
      </c>
      <c r="W2237" t="str">
        <f>"         FATTPA 2_17"</f>
        <v xml:space="preserve">         FATTPA 2_17</v>
      </c>
      <c r="X2237" s="1">
        <v>1299.44</v>
      </c>
      <c r="Y2237">
        <v>-259.89</v>
      </c>
      <c r="Z2237" s="5">
        <v>1039.55</v>
      </c>
      <c r="AA2237" s="3">
        <v>-59</v>
      </c>
      <c r="AB2237" s="5">
        <v>-61333.45</v>
      </c>
      <c r="AC2237" s="1">
        <v>1039.55</v>
      </c>
      <c r="AD2237">
        <v>-59</v>
      </c>
      <c r="AE2237" s="1">
        <v>-61333.45</v>
      </c>
      <c r="AF2237">
        <v>0</v>
      </c>
      <c r="AJ2237" s="1">
        <v>1039.55</v>
      </c>
      <c r="AK2237" s="1">
        <v>1039.55</v>
      </c>
      <c r="AL2237" s="1">
        <v>1039.55</v>
      </c>
      <c r="AM2237" s="1">
        <v>1039.55</v>
      </c>
      <c r="AN2237" s="1">
        <v>1039.55</v>
      </c>
      <c r="AO2237" s="1">
        <v>1039.55</v>
      </c>
      <c r="AP2237" s="2">
        <v>42831</v>
      </c>
      <c r="AQ2237" t="s">
        <v>72</v>
      </c>
      <c r="AR2237" t="s">
        <v>72</v>
      </c>
      <c r="AS2237">
        <v>750</v>
      </c>
      <c r="AT2237" s="4">
        <v>42803</v>
      </c>
      <c r="AV2237">
        <v>750</v>
      </c>
      <c r="AW2237" s="4">
        <v>42803</v>
      </c>
      <c r="BD2237">
        <v>0</v>
      </c>
      <c r="BN2237" t="s">
        <v>74</v>
      </c>
    </row>
    <row r="2238" spans="1:66">
      <c r="A2238">
        <v>106461</v>
      </c>
      <c r="B2238" t="s">
        <v>472</v>
      </c>
      <c r="C2238" s="1">
        <v>43300101</v>
      </c>
      <c r="D2238" t="s">
        <v>67</v>
      </c>
      <c r="H2238" t="str">
        <f>"02063290429"</f>
        <v>02063290429</v>
      </c>
      <c r="I2238" t="str">
        <f>"02063290429"</f>
        <v>02063290429</v>
      </c>
      <c r="K2238" t="str">
        <f>""</f>
        <v/>
      </c>
      <c r="M2238" t="s">
        <v>68</v>
      </c>
      <c r="N2238" t="str">
        <f>"FOR"</f>
        <v>FOR</v>
      </c>
      <c r="O2238" t="s">
        <v>69</v>
      </c>
      <c r="P2238" t="s">
        <v>75</v>
      </c>
      <c r="Q2238">
        <v>2016</v>
      </c>
      <c r="R2238" s="4">
        <v>42558</v>
      </c>
      <c r="S2238" s="2">
        <v>42587</v>
      </c>
      <c r="T2238" s="2">
        <v>42586</v>
      </c>
      <c r="U2238" s="4">
        <v>42646</v>
      </c>
      <c r="V2238" t="s">
        <v>71</v>
      </c>
      <c r="W2238" t="str">
        <f>"               16/PA"</f>
        <v xml:space="preserve">               16/PA</v>
      </c>
      <c r="X2238">
        <v>994.3</v>
      </c>
      <c r="Y2238">
        <v>0</v>
      </c>
      <c r="Z2238" s="5">
        <v>815</v>
      </c>
      <c r="AA2238" s="3">
        <v>126</v>
      </c>
      <c r="AB2238" s="5">
        <v>102690</v>
      </c>
      <c r="AC2238">
        <v>815</v>
      </c>
      <c r="AD2238">
        <v>126</v>
      </c>
      <c r="AE2238" s="1">
        <v>102690</v>
      </c>
      <c r="AF2238">
        <v>179.3</v>
      </c>
      <c r="AJ2238">
        <v>0</v>
      </c>
      <c r="AK2238">
        <v>0</v>
      </c>
      <c r="AL2238">
        <v>0</v>
      </c>
      <c r="AM2238">
        <v>0</v>
      </c>
      <c r="AN2238">
        <v>0</v>
      </c>
      <c r="AO2238">
        <v>0</v>
      </c>
      <c r="AP2238" s="2">
        <v>42831</v>
      </c>
      <c r="AQ2238" t="s">
        <v>72</v>
      </c>
      <c r="AR2238" t="s">
        <v>72</v>
      </c>
      <c r="AS2238">
        <v>292</v>
      </c>
      <c r="AT2238" s="4">
        <v>42772</v>
      </c>
      <c r="AU2238" t="s">
        <v>73</v>
      </c>
      <c r="AV2238">
        <v>292</v>
      </c>
      <c r="AW2238" s="4">
        <v>42772</v>
      </c>
      <c r="BC2238">
        <v>179.3</v>
      </c>
      <c r="BD2238">
        <v>0</v>
      </c>
      <c r="BN2238" t="s">
        <v>74</v>
      </c>
    </row>
    <row r="2239" spans="1:66">
      <c r="A2239">
        <v>106467</v>
      </c>
      <c r="B2239" t="s">
        <v>473</v>
      </c>
      <c r="C2239" s="1">
        <v>43500101</v>
      </c>
      <c r="D2239" t="s">
        <v>98</v>
      </c>
      <c r="H2239" t="str">
        <f>"RDCDNI84E53L259D"</f>
        <v>RDCDNI84E53L259D</v>
      </c>
      <c r="I2239" t="str">
        <f>"07841501211"</f>
        <v>07841501211</v>
      </c>
      <c r="K2239" t="str">
        <f>""</f>
        <v/>
      </c>
      <c r="M2239" t="s">
        <v>68</v>
      </c>
      <c r="N2239" t="str">
        <f>"ALTPRO"</f>
        <v>ALTPRO</v>
      </c>
      <c r="O2239" t="s">
        <v>116</v>
      </c>
      <c r="P2239" t="s">
        <v>75</v>
      </c>
      <c r="Q2239">
        <v>2017</v>
      </c>
      <c r="R2239" s="4">
        <v>42747</v>
      </c>
      <c r="S2239" s="2">
        <v>42747</v>
      </c>
      <c r="T2239" s="2">
        <v>42747</v>
      </c>
      <c r="U2239" s="4">
        <v>42807</v>
      </c>
      <c r="V2239" t="s">
        <v>71</v>
      </c>
      <c r="W2239" t="str">
        <f>"         FATTPA 1_17"</f>
        <v xml:space="preserve">         FATTPA 1_17</v>
      </c>
      <c r="X2239" s="1">
        <v>2634</v>
      </c>
      <c r="Y2239">
        <v>0</v>
      </c>
      <c r="Z2239" s="5">
        <v>2634</v>
      </c>
      <c r="AA2239" s="3">
        <v>-42</v>
      </c>
      <c r="AB2239" s="5">
        <v>-110628</v>
      </c>
      <c r="AC2239" s="1">
        <v>2634</v>
      </c>
      <c r="AD2239">
        <v>-42</v>
      </c>
      <c r="AE2239" s="1">
        <v>-110628</v>
      </c>
      <c r="AF2239">
        <v>0</v>
      </c>
      <c r="AJ2239">
        <v>0</v>
      </c>
      <c r="AK2239" s="1">
        <v>2634</v>
      </c>
      <c r="AL2239" s="1">
        <v>2634</v>
      </c>
      <c r="AM2239">
        <v>0</v>
      </c>
      <c r="AN2239" s="1">
        <v>2634</v>
      </c>
      <c r="AO2239" s="1">
        <v>2634</v>
      </c>
      <c r="AP2239" s="2">
        <v>42831</v>
      </c>
      <c r="AQ2239" t="s">
        <v>72</v>
      </c>
      <c r="AR2239" t="s">
        <v>72</v>
      </c>
      <c r="AS2239">
        <v>132</v>
      </c>
      <c r="AT2239" s="4">
        <v>42765</v>
      </c>
      <c r="AV2239">
        <v>132</v>
      </c>
      <c r="AW2239" s="4">
        <v>42765</v>
      </c>
      <c r="BD2239">
        <v>0</v>
      </c>
      <c r="BN2239" t="s">
        <v>74</v>
      </c>
    </row>
    <row r="2240" spans="1:66">
      <c r="A2240">
        <v>106467</v>
      </c>
      <c r="B2240" t="s">
        <v>473</v>
      </c>
      <c r="C2240" s="1">
        <v>43500101</v>
      </c>
      <c r="D2240" t="s">
        <v>98</v>
      </c>
      <c r="H2240" t="str">
        <f>"RDCDNI84E53L259D"</f>
        <v>RDCDNI84E53L259D</v>
      </c>
      <c r="I2240" t="str">
        <f>"07841501211"</f>
        <v>07841501211</v>
      </c>
      <c r="K2240" t="str">
        <f>""</f>
        <v/>
      </c>
      <c r="M2240" t="s">
        <v>68</v>
      </c>
      <c r="N2240" t="str">
        <f>"ALTPRO"</f>
        <v>ALTPRO</v>
      </c>
      <c r="O2240" t="s">
        <v>116</v>
      </c>
      <c r="P2240" t="s">
        <v>75</v>
      </c>
      <c r="Q2240">
        <v>2017</v>
      </c>
      <c r="R2240" s="4">
        <v>42774</v>
      </c>
      <c r="S2240" s="2">
        <v>42775</v>
      </c>
      <c r="T2240" s="2">
        <v>42774</v>
      </c>
      <c r="U2240" s="4">
        <v>42834</v>
      </c>
      <c r="V2240" t="s">
        <v>71</v>
      </c>
      <c r="W2240" t="str">
        <f>"         FATTPA 2_17"</f>
        <v xml:space="preserve">         FATTPA 2_17</v>
      </c>
      <c r="X2240" s="1">
        <v>2528.64</v>
      </c>
      <c r="Y2240">
        <v>0</v>
      </c>
      <c r="Z2240" s="5">
        <v>2528.64</v>
      </c>
      <c r="AA2240" s="3">
        <v>-58</v>
      </c>
      <c r="AB2240" s="5">
        <v>-146661.12</v>
      </c>
      <c r="AC2240" s="1">
        <v>2528.64</v>
      </c>
      <c r="AD2240">
        <v>-58</v>
      </c>
      <c r="AE2240" s="1">
        <v>-146661.12</v>
      </c>
      <c r="AF2240">
        <v>0</v>
      </c>
      <c r="AJ2240" s="1">
        <v>2528.64</v>
      </c>
      <c r="AK2240" s="1">
        <v>2528.64</v>
      </c>
      <c r="AL2240" s="1">
        <v>2528.64</v>
      </c>
      <c r="AM2240" s="1">
        <v>2528.64</v>
      </c>
      <c r="AN2240" s="1">
        <v>2528.64</v>
      </c>
      <c r="AO2240" s="1">
        <v>2528.64</v>
      </c>
      <c r="AP2240" s="2">
        <v>42831</v>
      </c>
      <c r="AQ2240" t="s">
        <v>72</v>
      </c>
      <c r="AR2240" t="s">
        <v>72</v>
      </c>
      <c r="AS2240">
        <v>393</v>
      </c>
      <c r="AT2240" s="4">
        <v>42776</v>
      </c>
      <c r="AV2240">
        <v>393</v>
      </c>
      <c r="AW2240" s="4">
        <v>42776</v>
      </c>
      <c r="BD2240">
        <v>0</v>
      </c>
      <c r="BN2240" t="s">
        <v>74</v>
      </c>
    </row>
    <row r="2241" spans="1:66">
      <c r="A2241">
        <v>106467</v>
      </c>
      <c r="B2241" t="s">
        <v>473</v>
      </c>
      <c r="C2241" s="1">
        <v>43500101</v>
      </c>
      <c r="D2241" t="s">
        <v>98</v>
      </c>
      <c r="H2241" t="str">
        <f>"RDCDNI84E53L259D"</f>
        <v>RDCDNI84E53L259D</v>
      </c>
      <c r="I2241" t="str">
        <f>"07841501211"</f>
        <v>07841501211</v>
      </c>
      <c r="K2241" t="str">
        <f>""</f>
        <v/>
      </c>
      <c r="M2241" t="s">
        <v>68</v>
      </c>
      <c r="N2241" t="str">
        <f>"ALTPRO"</f>
        <v>ALTPRO</v>
      </c>
      <c r="O2241" t="s">
        <v>116</v>
      </c>
      <c r="P2241" t="s">
        <v>75</v>
      </c>
      <c r="Q2241">
        <v>2017</v>
      </c>
      <c r="R2241" s="4">
        <v>42796</v>
      </c>
      <c r="S2241" s="2">
        <v>42796</v>
      </c>
      <c r="T2241" s="2">
        <v>42796</v>
      </c>
      <c r="U2241" s="4">
        <v>42856</v>
      </c>
      <c r="V2241" t="s">
        <v>71</v>
      </c>
      <c r="W2241" t="str">
        <f>"         FATTPA 3_17"</f>
        <v xml:space="preserve">         FATTPA 3_17</v>
      </c>
      <c r="X2241" s="1">
        <v>2528.64</v>
      </c>
      <c r="Y2241">
        <v>0</v>
      </c>
      <c r="Z2241" s="5">
        <v>2528.64</v>
      </c>
      <c r="AA2241" s="3">
        <v>-59</v>
      </c>
      <c r="AB2241" s="5">
        <v>-149189.76000000001</v>
      </c>
      <c r="AC2241" s="1">
        <v>2528.64</v>
      </c>
      <c r="AD2241">
        <v>-59</v>
      </c>
      <c r="AE2241" s="1">
        <v>-149189.76000000001</v>
      </c>
      <c r="AF2241">
        <v>0</v>
      </c>
      <c r="AJ2241" s="1">
        <v>2528.64</v>
      </c>
      <c r="AK2241" s="1">
        <v>2528.64</v>
      </c>
      <c r="AL2241" s="1">
        <v>2528.64</v>
      </c>
      <c r="AM2241" s="1">
        <v>2528.64</v>
      </c>
      <c r="AN2241" s="1">
        <v>2528.64</v>
      </c>
      <c r="AO2241" s="1">
        <v>2528.64</v>
      </c>
      <c r="AP2241" s="2">
        <v>42831</v>
      </c>
      <c r="AQ2241" t="s">
        <v>72</v>
      </c>
      <c r="AR2241" t="s">
        <v>72</v>
      </c>
      <c r="AS2241">
        <v>730</v>
      </c>
      <c r="AT2241" s="4">
        <v>42797</v>
      </c>
      <c r="AV2241">
        <v>730</v>
      </c>
      <c r="AW2241" s="4">
        <v>42797</v>
      </c>
      <c r="BD2241">
        <v>0</v>
      </c>
      <c r="BN2241" t="s">
        <v>74</v>
      </c>
    </row>
    <row r="2242" spans="1:66">
      <c r="A2242">
        <v>106483</v>
      </c>
      <c r="B2242" t="s">
        <v>474</v>
      </c>
      <c r="C2242" s="1">
        <v>43500101</v>
      </c>
      <c r="D2242" t="s">
        <v>98</v>
      </c>
      <c r="H2242" t="str">
        <f t="shared" ref="H2242:I2246" si="292">"01587310622"</f>
        <v>01587310622</v>
      </c>
      <c r="I2242" t="str">
        <f t="shared" si="292"/>
        <v>01587310622</v>
      </c>
      <c r="K2242" t="str">
        <f>""</f>
        <v/>
      </c>
      <c r="M2242" t="s">
        <v>68</v>
      </c>
      <c r="N2242" t="str">
        <f>"ALT"</f>
        <v>ALT</v>
      </c>
      <c r="O2242" t="s">
        <v>99</v>
      </c>
      <c r="P2242" t="s">
        <v>75</v>
      </c>
      <c r="Q2242">
        <v>2016</v>
      </c>
      <c r="R2242" s="4">
        <v>42613</v>
      </c>
      <c r="S2242" s="2">
        <v>42647</v>
      </c>
      <c r="T2242" s="2">
        <v>42618</v>
      </c>
      <c r="U2242" s="4">
        <v>42678</v>
      </c>
      <c r="V2242" t="s">
        <v>71</v>
      </c>
      <c r="W2242" t="str">
        <f>"     000031-2016-FPA"</f>
        <v xml:space="preserve">     000031-2016-FPA</v>
      </c>
      <c r="X2242" s="1">
        <v>75705.13</v>
      </c>
      <c r="Y2242">
        <v>0</v>
      </c>
      <c r="Z2242" s="5">
        <v>75705.13</v>
      </c>
      <c r="AA2242" s="3">
        <v>88</v>
      </c>
      <c r="AB2242" s="5">
        <v>6662051.4400000004</v>
      </c>
      <c r="AC2242" s="1">
        <v>75705.13</v>
      </c>
      <c r="AD2242">
        <v>88</v>
      </c>
      <c r="AE2242" s="1">
        <v>6662051.4400000004</v>
      </c>
      <c r="AF2242">
        <v>0</v>
      </c>
      <c r="AJ2242">
        <v>0</v>
      </c>
      <c r="AK2242">
        <v>0</v>
      </c>
      <c r="AL2242">
        <v>0</v>
      </c>
      <c r="AM2242">
        <v>0</v>
      </c>
      <c r="AN2242">
        <v>0</v>
      </c>
      <c r="AO2242">
        <v>0</v>
      </c>
      <c r="AP2242" s="2">
        <v>42831</v>
      </c>
      <c r="AQ2242" t="s">
        <v>72</v>
      </c>
      <c r="AR2242" t="s">
        <v>72</v>
      </c>
      <c r="AS2242">
        <v>156</v>
      </c>
      <c r="AT2242" s="4">
        <v>42766</v>
      </c>
      <c r="AU2242" t="s">
        <v>73</v>
      </c>
      <c r="AV2242">
        <v>156</v>
      </c>
      <c r="AW2242" s="4">
        <v>42766</v>
      </c>
      <c r="BD2242">
        <v>0</v>
      </c>
      <c r="BN2242" t="s">
        <v>74</v>
      </c>
    </row>
    <row r="2243" spans="1:66">
      <c r="A2243">
        <v>106483</v>
      </c>
      <c r="B2243" t="s">
        <v>474</v>
      </c>
      <c r="C2243" s="1">
        <v>43500101</v>
      </c>
      <c r="D2243" t="s">
        <v>98</v>
      </c>
      <c r="H2243" t="str">
        <f t="shared" si="292"/>
        <v>01587310622</v>
      </c>
      <c r="I2243" t="str">
        <f t="shared" si="292"/>
        <v>01587310622</v>
      </c>
      <c r="K2243" t="str">
        <f>""</f>
        <v/>
      </c>
      <c r="M2243" t="s">
        <v>68</v>
      </c>
      <c r="N2243" t="str">
        <f>"ALT"</f>
        <v>ALT</v>
      </c>
      <c r="O2243" t="s">
        <v>99</v>
      </c>
      <c r="P2243" t="s">
        <v>75</v>
      </c>
      <c r="Q2243">
        <v>2016</v>
      </c>
      <c r="R2243" s="4">
        <v>42619</v>
      </c>
      <c r="S2243" s="2">
        <v>42647</v>
      </c>
      <c r="T2243" s="2">
        <v>42619</v>
      </c>
      <c r="U2243" s="4">
        <v>42679</v>
      </c>
      <c r="V2243" t="s">
        <v>71</v>
      </c>
      <c r="W2243" t="str">
        <f>"     000033-2016-FPA"</f>
        <v xml:space="preserve">     000033-2016-FPA</v>
      </c>
      <c r="X2243" s="1">
        <v>2472</v>
      </c>
      <c r="Y2243">
        <v>0</v>
      </c>
      <c r="Z2243" s="5">
        <v>2472</v>
      </c>
      <c r="AA2243" s="3">
        <v>116</v>
      </c>
      <c r="AB2243" s="5">
        <v>286752</v>
      </c>
      <c r="AC2243" s="1">
        <v>2472</v>
      </c>
      <c r="AD2243">
        <v>116</v>
      </c>
      <c r="AE2243" s="1">
        <v>286752</v>
      </c>
      <c r="AF2243">
        <v>0</v>
      </c>
      <c r="AJ2243">
        <v>0</v>
      </c>
      <c r="AK2243">
        <v>0</v>
      </c>
      <c r="AL2243">
        <v>0</v>
      </c>
      <c r="AM2243">
        <v>0</v>
      </c>
      <c r="AN2243">
        <v>0</v>
      </c>
      <c r="AO2243">
        <v>0</v>
      </c>
      <c r="AP2243" s="2">
        <v>42831</v>
      </c>
      <c r="AQ2243" t="s">
        <v>72</v>
      </c>
      <c r="AR2243" t="s">
        <v>72</v>
      </c>
      <c r="AS2243">
        <v>660</v>
      </c>
      <c r="AT2243" s="4">
        <v>42795</v>
      </c>
      <c r="AU2243" t="s">
        <v>73</v>
      </c>
      <c r="AV2243">
        <v>660</v>
      </c>
      <c r="AW2243" s="4">
        <v>42795</v>
      </c>
      <c r="BD2243">
        <v>0</v>
      </c>
      <c r="BN2243" t="s">
        <v>74</v>
      </c>
    </row>
    <row r="2244" spans="1:66">
      <c r="A2244">
        <v>106483</v>
      </c>
      <c r="B2244" t="s">
        <v>474</v>
      </c>
      <c r="C2244" s="1">
        <v>43500101</v>
      </c>
      <c r="D2244" t="s">
        <v>98</v>
      </c>
      <c r="H2244" t="str">
        <f t="shared" si="292"/>
        <v>01587310622</v>
      </c>
      <c r="I2244" t="str">
        <f t="shared" si="292"/>
        <v>01587310622</v>
      </c>
      <c r="K2244" t="str">
        <f>""</f>
        <v/>
      </c>
      <c r="M2244" t="s">
        <v>68</v>
      </c>
      <c r="N2244" t="str">
        <f>"ALT"</f>
        <v>ALT</v>
      </c>
      <c r="O2244" t="s">
        <v>99</v>
      </c>
      <c r="P2244" t="s">
        <v>75</v>
      </c>
      <c r="Q2244">
        <v>2016</v>
      </c>
      <c r="R2244" s="4">
        <v>42633</v>
      </c>
      <c r="S2244" s="2">
        <v>42647</v>
      </c>
      <c r="T2244" s="2">
        <v>42633</v>
      </c>
      <c r="U2244" s="4">
        <v>42693</v>
      </c>
      <c r="V2244" t="s">
        <v>71</v>
      </c>
      <c r="W2244" t="str">
        <f>"     000036-2016-FPA"</f>
        <v xml:space="preserve">     000036-2016-FPA</v>
      </c>
      <c r="X2244" s="1">
        <v>3842.75</v>
      </c>
      <c r="Y2244">
        <v>0</v>
      </c>
      <c r="Z2244" s="5">
        <v>3842.75</v>
      </c>
      <c r="AA2244" s="3">
        <v>102</v>
      </c>
      <c r="AB2244" s="5">
        <v>391960.5</v>
      </c>
      <c r="AC2244" s="1">
        <v>3842.75</v>
      </c>
      <c r="AD2244">
        <v>102</v>
      </c>
      <c r="AE2244" s="1">
        <v>391960.5</v>
      </c>
      <c r="AF2244">
        <v>0</v>
      </c>
      <c r="AJ2244">
        <v>0</v>
      </c>
      <c r="AK2244">
        <v>0</v>
      </c>
      <c r="AL2244">
        <v>0</v>
      </c>
      <c r="AM2244">
        <v>0</v>
      </c>
      <c r="AN2244">
        <v>0</v>
      </c>
      <c r="AO2244">
        <v>0</v>
      </c>
      <c r="AP2244" s="2">
        <v>42831</v>
      </c>
      <c r="AQ2244" t="s">
        <v>72</v>
      </c>
      <c r="AR2244" t="s">
        <v>72</v>
      </c>
      <c r="AS2244">
        <v>660</v>
      </c>
      <c r="AT2244" s="4">
        <v>42795</v>
      </c>
      <c r="AU2244" t="s">
        <v>73</v>
      </c>
      <c r="AV2244">
        <v>660</v>
      </c>
      <c r="AW2244" s="4">
        <v>42795</v>
      </c>
      <c r="BD2244">
        <v>0</v>
      </c>
      <c r="BN2244" t="s">
        <v>74</v>
      </c>
    </row>
    <row r="2245" spans="1:66">
      <c r="A2245">
        <v>106483</v>
      </c>
      <c r="B2245" t="s">
        <v>474</v>
      </c>
      <c r="C2245" s="1">
        <v>43500101</v>
      </c>
      <c r="D2245" t="s">
        <v>98</v>
      </c>
      <c r="H2245" t="str">
        <f t="shared" si="292"/>
        <v>01587310622</v>
      </c>
      <c r="I2245" t="str">
        <f t="shared" si="292"/>
        <v>01587310622</v>
      </c>
      <c r="K2245" t="str">
        <f>""</f>
        <v/>
      </c>
      <c r="M2245" t="s">
        <v>68</v>
      </c>
      <c r="N2245" t="str">
        <f>"ALT"</f>
        <v>ALT</v>
      </c>
      <c r="O2245" t="s">
        <v>99</v>
      </c>
      <c r="P2245" t="s">
        <v>75</v>
      </c>
      <c r="Q2245">
        <v>2016</v>
      </c>
      <c r="R2245" s="4">
        <v>42643</v>
      </c>
      <c r="S2245" s="2">
        <v>42676</v>
      </c>
      <c r="T2245" s="2">
        <v>42649</v>
      </c>
      <c r="U2245" s="4">
        <v>42709</v>
      </c>
      <c r="V2245" t="s">
        <v>71</v>
      </c>
      <c r="W2245" t="str">
        <f>"     000037-2016-FPA"</f>
        <v xml:space="preserve">     000037-2016-FPA</v>
      </c>
      <c r="X2245" s="1">
        <v>75703.13</v>
      </c>
      <c r="Y2245">
        <v>0</v>
      </c>
      <c r="Z2245" s="5">
        <v>75703.13</v>
      </c>
      <c r="AA2245" s="3">
        <v>86</v>
      </c>
      <c r="AB2245" s="5">
        <v>6510469.1799999997</v>
      </c>
      <c r="AC2245" s="1">
        <v>75703.13</v>
      </c>
      <c r="AD2245">
        <v>86</v>
      </c>
      <c r="AE2245" s="1">
        <v>6510469.1799999997</v>
      </c>
      <c r="AF2245">
        <v>0</v>
      </c>
      <c r="AJ2245">
        <v>0</v>
      </c>
      <c r="AK2245">
        <v>0</v>
      </c>
      <c r="AL2245">
        <v>0</v>
      </c>
      <c r="AM2245">
        <v>0</v>
      </c>
      <c r="AN2245">
        <v>0</v>
      </c>
      <c r="AO2245">
        <v>0</v>
      </c>
      <c r="AP2245" s="2">
        <v>42831</v>
      </c>
      <c r="AQ2245" t="s">
        <v>72</v>
      </c>
      <c r="AR2245" t="s">
        <v>72</v>
      </c>
      <c r="AS2245">
        <v>660</v>
      </c>
      <c r="AT2245" s="4">
        <v>42795</v>
      </c>
      <c r="AU2245" t="s">
        <v>73</v>
      </c>
      <c r="AV2245">
        <v>660</v>
      </c>
      <c r="AW2245" s="4">
        <v>42795</v>
      </c>
      <c r="BD2245">
        <v>0</v>
      </c>
      <c r="BN2245" t="s">
        <v>74</v>
      </c>
    </row>
    <row r="2246" spans="1:66">
      <c r="A2246">
        <v>106483</v>
      </c>
      <c r="B2246" t="s">
        <v>474</v>
      </c>
      <c r="C2246" s="1">
        <v>43500101</v>
      </c>
      <c r="D2246" t="s">
        <v>98</v>
      </c>
      <c r="H2246" t="str">
        <f t="shared" si="292"/>
        <v>01587310622</v>
      </c>
      <c r="I2246" t="str">
        <f t="shared" si="292"/>
        <v>01587310622</v>
      </c>
      <c r="K2246" t="str">
        <f>""</f>
        <v/>
      </c>
      <c r="M2246" t="s">
        <v>68</v>
      </c>
      <c r="N2246" t="str">
        <f>"ALT"</f>
        <v>ALT</v>
      </c>
      <c r="O2246" t="s">
        <v>99</v>
      </c>
      <c r="P2246" t="s">
        <v>75</v>
      </c>
      <c r="Q2246">
        <v>2016</v>
      </c>
      <c r="R2246" s="4">
        <v>42649</v>
      </c>
      <c r="S2246" s="2">
        <v>42681</v>
      </c>
      <c r="T2246" s="2">
        <v>42678</v>
      </c>
      <c r="U2246" s="4">
        <v>42738</v>
      </c>
      <c r="V2246" t="s">
        <v>71</v>
      </c>
      <c r="W2246" t="str">
        <f>"     000047-2016-FPA"</f>
        <v xml:space="preserve">     000047-2016-FPA</v>
      </c>
      <c r="X2246" s="1">
        <v>2223.75</v>
      </c>
      <c r="Y2246">
        <v>0</v>
      </c>
      <c r="Z2246" s="5">
        <v>2223.75</v>
      </c>
      <c r="AA2246" s="3">
        <v>57</v>
      </c>
      <c r="AB2246" s="5">
        <v>126753.75</v>
      </c>
      <c r="AC2246" s="1">
        <v>2223.75</v>
      </c>
      <c r="AD2246">
        <v>57</v>
      </c>
      <c r="AE2246" s="1">
        <v>126753.75</v>
      </c>
      <c r="AF2246">
        <v>0</v>
      </c>
      <c r="AJ2246">
        <v>0</v>
      </c>
      <c r="AK2246">
        <v>0</v>
      </c>
      <c r="AL2246">
        <v>0</v>
      </c>
      <c r="AM2246">
        <v>0</v>
      </c>
      <c r="AN2246">
        <v>0</v>
      </c>
      <c r="AO2246">
        <v>0</v>
      </c>
      <c r="AP2246" s="2">
        <v>42831</v>
      </c>
      <c r="AQ2246" t="s">
        <v>72</v>
      </c>
      <c r="AR2246" t="s">
        <v>72</v>
      </c>
      <c r="AS2246">
        <v>660</v>
      </c>
      <c r="AT2246" s="4">
        <v>42795</v>
      </c>
      <c r="AU2246" t="s">
        <v>73</v>
      </c>
      <c r="AV2246">
        <v>660</v>
      </c>
      <c r="AW2246" s="4">
        <v>42795</v>
      </c>
      <c r="BD2246">
        <v>0</v>
      </c>
      <c r="BN2246" t="s">
        <v>74</v>
      </c>
    </row>
    <row r="2247" spans="1:66">
      <c r="A2247">
        <v>106488</v>
      </c>
      <c r="B2247" t="s">
        <v>475</v>
      </c>
      <c r="C2247" s="1">
        <v>43300101</v>
      </c>
      <c r="D2247" t="s">
        <v>67</v>
      </c>
      <c r="H2247" t="str">
        <f>""</f>
        <v/>
      </c>
      <c r="I2247" t="str">
        <f>""</f>
        <v/>
      </c>
      <c r="J2247" t="s">
        <v>476</v>
      </c>
      <c r="K2247" t="str">
        <f>"90490932449"</f>
        <v>90490932449</v>
      </c>
      <c r="M2247" t="s">
        <v>68</v>
      </c>
      <c r="N2247" t="str">
        <f>"FOR"</f>
        <v>FOR</v>
      </c>
      <c r="O2247" t="s">
        <v>69</v>
      </c>
      <c r="P2247" t="s">
        <v>477</v>
      </c>
      <c r="Q2247">
        <v>2016</v>
      </c>
      <c r="R2247" s="4">
        <v>42724</v>
      </c>
      <c r="S2247" s="2">
        <v>42734</v>
      </c>
      <c r="T2247" s="2">
        <v>42734</v>
      </c>
      <c r="U2247" s="4">
        <v>42794</v>
      </c>
      <c r="V2247" t="s">
        <v>71</v>
      </c>
      <c r="W2247" t="str">
        <f>"            56063242"</f>
        <v xml:space="preserve">            56063242</v>
      </c>
      <c r="X2247">
        <v>982.8</v>
      </c>
      <c r="Y2247">
        <v>-37.799999999999997</v>
      </c>
      <c r="Z2247" s="5">
        <v>945</v>
      </c>
      <c r="AA2247" s="3">
        <v>-26</v>
      </c>
      <c r="AB2247" s="5">
        <v>-24570</v>
      </c>
      <c r="AC2247">
        <v>945</v>
      </c>
      <c r="AD2247">
        <v>-26</v>
      </c>
      <c r="AE2247" s="1">
        <v>-24570</v>
      </c>
      <c r="AF2247">
        <v>0</v>
      </c>
      <c r="AJ2247">
        <v>0</v>
      </c>
      <c r="AK2247">
        <v>0</v>
      </c>
      <c r="AL2247">
        <v>0</v>
      </c>
      <c r="AM2247">
        <v>0</v>
      </c>
      <c r="AN2247">
        <v>0</v>
      </c>
      <c r="AO2247">
        <v>0</v>
      </c>
      <c r="AP2247" s="2">
        <v>42831</v>
      </c>
      <c r="AQ2247" t="s">
        <v>72</v>
      </c>
      <c r="AR2247" t="s">
        <v>72</v>
      </c>
      <c r="AS2247">
        <v>231</v>
      </c>
      <c r="AT2247" s="4">
        <v>42768</v>
      </c>
      <c r="AV2247">
        <v>231</v>
      </c>
      <c r="AW2247" s="4">
        <v>42768</v>
      </c>
      <c r="BD2247">
        <v>0</v>
      </c>
      <c r="BN2247" t="s">
        <v>74</v>
      </c>
    </row>
    <row r="2248" spans="1:66">
      <c r="A2248">
        <v>106489</v>
      </c>
      <c r="B2248" t="s">
        <v>478</v>
      </c>
      <c r="C2248" s="1">
        <v>43300101</v>
      </c>
      <c r="D2248" t="s">
        <v>67</v>
      </c>
      <c r="H2248" t="str">
        <f>"08592930963"</f>
        <v>08592930963</v>
      </c>
      <c r="I2248" t="str">
        <f>"08592930963"</f>
        <v>08592930963</v>
      </c>
      <c r="K2248" t="str">
        <f>""</f>
        <v/>
      </c>
      <c r="M2248" t="s">
        <v>68</v>
      </c>
      <c r="N2248" t="str">
        <f>"FOR"</f>
        <v>FOR</v>
      </c>
      <c r="O2248" t="s">
        <v>69</v>
      </c>
      <c r="P2248" t="s">
        <v>75</v>
      </c>
      <c r="Q2248">
        <v>2016</v>
      </c>
      <c r="R2248" s="4">
        <v>42450</v>
      </c>
      <c r="S2248" s="2">
        <v>42464</v>
      </c>
      <c r="T2248" s="2">
        <v>42453</v>
      </c>
      <c r="U2248" s="4">
        <v>42513</v>
      </c>
      <c r="V2248" t="s">
        <v>71</v>
      </c>
      <c r="W2248" t="str">
        <f>"            16705951"</f>
        <v xml:space="preserve">            16705951</v>
      </c>
      <c r="X2248" s="1">
        <v>8539.99</v>
      </c>
      <c r="Y2248">
        <v>0</v>
      </c>
      <c r="Z2248" s="5">
        <v>6999.99</v>
      </c>
      <c r="AA2248" s="3">
        <v>255</v>
      </c>
      <c r="AB2248" s="5">
        <v>1784997.45</v>
      </c>
      <c r="AC2248" s="1">
        <v>6999.99</v>
      </c>
      <c r="AD2248">
        <v>255</v>
      </c>
      <c r="AE2248" s="1">
        <v>1784997.45</v>
      </c>
      <c r="AF2248">
        <v>0</v>
      </c>
      <c r="AJ2248">
        <v>0</v>
      </c>
      <c r="AK2248">
        <v>0</v>
      </c>
      <c r="AL2248">
        <v>0</v>
      </c>
      <c r="AM2248">
        <v>0</v>
      </c>
      <c r="AN2248">
        <v>0</v>
      </c>
      <c r="AO2248">
        <v>0</v>
      </c>
      <c r="AP2248" s="2">
        <v>42831</v>
      </c>
      <c r="AQ2248" t="s">
        <v>72</v>
      </c>
      <c r="AR2248" t="s">
        <v>72</v>
      </c>
      <c r="AS2248">
        <v>217</v>
      </c>
      <c r="AT2248" s="4">
        <v>42768</v>
      </c>
      <c r="AU2248" t="s">
        <v>73</v>
      </c>
      <c r="AV2248">
        <v>217</v>
      </c>
      <c r="AW2248" s="4">
        <v>42768</v>
      </c>
      <c r="BD2248">
        <v>0</v>
      </c>
      <c r="BN2248" t="s">
        <v>74</v>
      </c>
    </row>
    <row r="2249" spans="1:66">
      <c r="A2249">
        <v>106494</v>
      </c>
      <c r="B2249" t="s">
        <v>479</v>
      </c>
      <c r="C2249" s="1">
        <v>43500101</v>
      </c>
      <c r="D2249" t="s">
        <v>98</v>
      </c>
      <c r="H2249" t="str">
        <f>"MZZMRN82H17C495G"</f>
        <v>MZZMRN82H17C495G</v>
      </c>
      <c r="I2249" t="str">
        <f>"03986740615"</f>
        <v>03986740615</v>
      </c>
      <c r="K2249" t="str">
        <f>""</f>
        <v/>
      </c>
      <c r="M2249" t="s">
        <v>68</v>
      </c>
      <c r="N2249" t="str">
        <f>"ALTPRO"</f>
        <v>ALTPRO</v>
      </c>
      <c r="O2249" t="s">
        <v>116</v>
      </c>
      <c r="P2249" t="s">
        <v>75</v>
      </c>
      <c r="Q2249">
        <v>2017</v>
      </c>
      <c r="R2249" s="4">
        <v>42747</v>
      </c>
      <c r="S2249" s="2">
        <v>42747</v>
      </c>
      <c r="T2249" s="2">
        <v>42747</v>
      </c>
      <c r="U2249" s="4">
        <v>42807</v>
      </c>
      <c r="V2249" t="s">
        <v>71</v>
      </c>
      <c r="W2249" t="str">
        <f>"         FATTPA 1_17"</f>
        <v xml:space="preserve">         FATTPA 1_17</v>
      </c>
      <c r="X2249" s="1">
        <v>2634</v>
      </c>
      <c r="Y2249">
        <v>0</v>
      </c>
      <c r="Z2249" s="5">
        <v>2634</v>
      </c>
      <c r="AA2249" s="3">
        <v>-42</v>
      </c>
      <c r="AB2249" s="5">
        <v>-110628</v>
      </c>
      <c r="AC2249" s="1">
        <v>2634</v>
      </c>
      <c r="AD2249">
        <v>-42</v>
      </c>
      <c r="AE2249" s="1">
        <v>-110628</v>
      </c>
      <c r="AF2249">
        <v>0</v>
      </c>
      <c r="AJ2249">
        <v>0</v>
      </c>
      <c r="AK2249" s="1">
        <v>2634</v>
      </c>
      <c r="AL2249" s="1">
        <v>2634</v>
      </c>
      <c r="AM2249">
        <v>0</v>
      </c>
      <c r="AN2249" s="1">
        <v>2634</v>
      </c>
      <c r="AO2249" s="1">
        <v>2634</v>
      </c>
      <c r="AP2249" s="2">
        <v>42831</v>
      </c>
      <c r="AQ2249" t="s">
        <v>72</v>
      </c>
      <c r="AR2249" t="s">
        <v>72</v>
      </c>
      <c r="AS2249">
        <v>133</v>
      </c>
      <c r="AT2249" s="4">
        <v>42765</v>
      </c>
      <c r="AV2249">
        <v>133</v>
      </c>
      <c r="AW2249" s="4">
        <v>42765</v>
      </c>
      <c r="BD2249">
        <v>0</v>
      </c>
      <c r="BN2249" t="s">
        <v>74</v>
      </c>
    </row>
    <row r="2250" spans="1:66">
      <c r="A2250">
        <v>106494</v>
      </c>
      <c r="B2250" t="s">
        <v>479</v>
      </c>
      <c r="C2250" s="1">
        <v>43500101</v>
      </c>
      <c r="D2250" t="s">
        <v>98</v>
      </c>
      <c r="H2250" t="str">
        <f>"MZZMRN82H17C495G"</f>
        <v>MZZMRN82H17C495G</v>
      </c>
      <c r="I2250" t="str">
        <f>"03986740615"</f>
        <v>03986740615</v>
      </c>
      <c r="K2250" t="str">
        <f>""</f>
        <v/>
      </c>
      <c r="M2250" t="s">
        <v>68</v>
      </c>
      <c r="N2250" t="str">
        <f>"ALTPRO"</f>
        <v>ALTPRO</v>
      </c>
      <c r="O2250" t="s">
        <v>116</v>
      </c>
      <c r="P2250" t="s">
        <v>75</v>
      </c>
      <c r="Q2250">
        <v>2017</v>
      </c>
      <c r="R2250" s="4">
        <v>42781</v>
      </c>
      <c r="S2250" s="2">
        <v>42781</v>
      </c>
      <c r="T2250" s="2">
        <v>42781</v>
      </c>
      <c r="U2250" s="4">
        <v>42841</v>
      </c>
      <c r="V2250" t="s">
        <v>71</v>
      </c>
      <c r="W2250" t="str">
        <f>"         FATTPA 2_17"</f>
        <v xml:space="preserve">         FATTPA 2_17</v>
      </c>
      <c r="X2250" s="1">
        <v>2634</v>
      </c>
      <c r="Y2250">
        <v>0</v>
      </c>
      <c r="Z2250" s="5">
        <v>2634</v>
      </c>
      <c r="AA2250" s="3">
        <v>-59</v>
      </c>
      <c r="AB2250" s="5">
        <v>-155406</v>
      </c>
      <c r="AC2250" s="1">
        <v>2634</v>
      </c>
      <c r="AD2250">
        <v>-59</v>
      </c>
      <c r="AE2250" s="1">
        <v>-155406</v>
      </c>
      <c r="AF2250">
        <v>0</v>
      </c>
      <c r="AJ2250" s="1">
        <v>2634</v>
      </c>
      <c r="AK2250" s="1">
        <v>2634</v>
      </c>
      <c r="AL2250" s="1">
        <v>2634</v>
      </c>
      <c r="AM2250" s="1">
        <v>2634</v>
      </c>
      <c r="AN2250" s="1">
        <v>2634</v>
      </c>
      <c r="AO2250" s="1">
        <v>2634</v>
      </c>
      <c r="AP2250" s="2">
        <v>42831</v>
      </c>
      <c r="AQ2250" t="s">
        <v>72</v>
      </c>
      <c r="AR2250" t="s">
        <v>72</v>
      </c>
      <c r="AS2250">
        <v>466</v>
      </c>
      <c r="AT2250" s="4">
        <v>42782</v>
      </c>
      <c r="AV2250">
        <v>466</v>
      </c>
      <c r="AW2250" s="4">
        <v>42782</v>
      </c>
      <c r="BD2250">
        <v>0</v>
      </c>
      <c r="BN2250" t="s">
        <v>74</v>
      </c>
    </row>
    <row r="2251" spans="1:66">
      <c r="A2251">
        <v>106494</v>
      </c>
      <c r="B2251" t="s">
        <v>479</v>
      </c>
      <c r="C2251" s="1">
        <v>43500101</v>
      </c>
      <c r="D2251" t="s">
        <v>98</v>
      </c>
      <c r="H2251" t="str">
        <f>"MZZMRN82H17C495G"</f>
        <v>MZZMRN82H17C495G</v>
      </c>
      <c r="I2251" t="str">
        <f>"03986740615"</f>
        <v>03986740615</v>
      </c>
      <c r="K2251" t="str">
        <f>""</f>
        <v/>
      </c>
      <c r="M2251" t="s">
        <v>68</v>
      </c>
      <c r="N2251" t="str">
        <f>"ALTPRO"</f>
        <v>ALTPRO</v>
      </c>
      <c r="O2251" t="s">
        <v>116</v>
      </c>
      <c r="P2251" t="s">
        <v>75</v>
      </c>
      <c r="Q2251">
        <v>2017</v>
      </c>
      <c r="R2251" s="4">
        <v>42798</v>
      </c>
      <c r="S2251" s="2">
        <v>42801</v>
      </c>
      <c r="T2251" s="2">
        <v>42798</v>
      </c>
      <c r="U2251" s="4">
        <v>42858</v>
      </c>
      <c r="V2251" t="s">
        <v>71</v>
      </c>
      <c r="W2251" t="str">
        <f>"         FATTPA 3_17"</f>
        <v xml:space="preserve">         FATTPA 3_17</v>
      </c>
      <c r="X2251" s="1">
        <v>2528.64</v>
      </c>
      <c r="Y2251">
        <v>0</v>
      </c>
      <c r="Z2251" s="5">
        <v>2528.64</v>
      </c>
      <c r="AA2251" s="3">
        <v>-57</v>
      </c>
      <c r="AB2251" s="5">
        <v>-144132.48000000001</v>
      </c>
      <c r="AC2251" s="1">
        <v>2528.64</v>
      </c>
      <c r="AD2251">
        <v>-57</v>
      </c>
      <c r="AE2251" s="1">
        <v>-144132.48000000001</v>
      </c>
      <c r="AF2251">
        <v>0</v>
      </c>
      <c r="AJ2251" s="1">
        <v>2528.64</v>
      </c>
      <c r="AK2251" s="1">
        <v>2528.64</v>
      </c>
      <c r="AL2251" s="1">
        <v>2528.64</v>
      </c>
      <c r="AM2251" s="1">
        <v>2528.64</v>
      </c>
      <c r="AN2251" s="1">
        <v>2528.64</v>
      </c>
      <c r="AO2251" s="1">
        <v>2528.64</v>
      </c>
      <c r="AP2251" s="2">
        <v>42831</v>
      </c>
      <c r="AQ2251" t="s">
        <v>72</v>
      </c>
      <c r="AR2251" t="s">
        <v>72</v>
      </c>
      <c r="AS2251">
        <v>742</v>
      </c>
      <c r="AT2251" s="4">
        <v>42801</v>
      </c>
      <c r="AV2251">
        <v>742</v>
      </c>
      <c r="AW2251" s="4">
        <v>42801</v>
      </c>
      <c r="BD2251">
        <v>0</v>
      </c>
      <c r="BN2251" t="s">
        <v>74</v>
      </c>
    </row>
    <row r="2252" spans="1:66">
      <c r="A2252">
        <v>106500</v>
      </c>
      <c r="B2252" t="s">
        <v>480</v>
      </c>
      <c r="C2252" s="1">
        <v>43500101</v>
      </c>
      <c r="D2252" t="s">
        <v>98</v>
      </c>
      <c r="H2252" t="str">
        <f>"NNNMRA62C47I019R"</f>
        <v>NNNMRA62C47I019R</v>
      </c>
      <c r="I2252" t="str">
        <f>"02460230655"</f>
        <v>02460230655</v>
      </c>
      <c r="K2252" t="str">
        <f>""</f>
        <v/>
      </c>
      <c r="M2252" t="s">
        <v>68</v>
      </c>
      <c r="N2252" t="str">
        <f>"ALTPRO"</f>
        <v>ALTPRO</v>
      </c>
      <c r="O2252" t="s">
        <v>116</v>
      </c>
      <c r="P2252" t="s">
        <v>75</v>
      </c>
      <c r="Q2252">
        <v>2017</v>
      </c>
      <c r="R2252" s="4">
        <v>42744</v>
      </c>
      <c r="S2252" s="2">
        <v>42748</v>
      </c>
      <c r="T2252" s="2">
        <v>42744</v>
      </c>
      <c r="U2252" s="4">
        <v>42804</v>
      </c>
      <c r="V2252" t="s">
        <v>71</v>
      </c>
      <c r="W2252" t="str">
        <f>"           1/2017/PA"</f>
        <v xml:space="preserve">           1/2017/PA</v>
      </c>
      <c r="X2252" s="1">
        <v>12332</v>
      </c>
      <c r="Y2252" s="1">
        <v>-1943.88</v>
      </c>
      <c r="Z2252" s="5">
        <v>10388.120000000001</v>
      </c>
      <c r="AA2252" s="3">
        <v>-29</v>
      </c>
      <c r="AB2252" s="5">
        <v>-301255.48</v>
      </c>
      <c r="AC2252" s="1">
        <v>10388.120000000001</v>
      </c>
      <c r="AD2252">
        <v>-29</v>
      </c>
      <c r="AE2252" s="1">
        <v>-301255.48</v>
      </c>
      <c r="AF2252">
        <v>0</v>
      </c>
      <c r="AJ2252" s="1">
        <v>10388.120000000001</v>
      </c>
      <c r="AK2252" s="1">
        <v>10388.120000000001</v>
      </c>
      <c r="AL2252" s="1">
        <v>10388.120000000001</v>
      </c>
      <c r="AM2252" s="1">
        <v>10388.120000000001</v>
      </c>
      <c r="AN2252" s="1">
        <v>10388.120000000001</v>
      </c>
      <c r="AO2252" s="1">
        <v>10388.120000000001</v>
      </c>
      <c r="AP2252" s="2">
        <v>42831</v>
      </c>
      <c r="AQ2252" t="s">
        <v>72</v>
      </c>
      <c r="AR2252" t="s">
        <v>72</v>
      </c>
      <c r="AS2252">
        <v>363</v>
      </c>
      <c r="AT2252" s="4">
        <v>42775</v>
      </c>
      <c r="AV2252">
        <v>363</v>
      </c>
      <c r="AW2252" s="4">
        <v>42775</v>
      </c>
      <c r="BD2252">
        <v>0</v>
      </c>
      <c r="BN2252" t="s">
        <v>74</v>
      </c>
    </row>
    <row r="2253" spans="1:66">
      <c r="A2253">
        <v>106500</v>
      </c>
      <c r="B2253" t="s">
        <v>480</v>
      </c>
      <c r="C2253" s="1">
        <v>43500101</v>
      </c>
      <c r="D2253" t="s">
        <v>98</v>
      </c>
      <c r="H2253" t="str">
        <f>"NNNMRA62C47I019R"</f>
        <v>NNNMRA62C47I019R</v>
      </c>
      <c r="I2253" t="str">
        <f>"02460230655"</f>
        <v>02460230655</v>
      </c>
      <c r="K2253" t="str">
        <f>""</f>
        <v/>
      </c>
      <c r="M2253" t="s">
        <v>68</v>
      </c>
      <c r="N2253" t="str">
        <f>"ALTPRO"</f>
        <v>ALTPRO</v>
      </c>
      <c r="O2253" t="s">
        <v>116</v>
      </c>
      <c r="P2253" t="s">
        <v>75</v>
      </c>
      <c r="Q2253">
        <v>2017</v>
      </c>
      <c r="R2253" s="4">
        <v>42744</v>
      </c>
      <c r="S2253" s="2">
        <v>42748</v>
      </c>
      <c r="T2253" s="2">
        <v>42744</v>
      </c>
      <c r="U2253" s="4">
        <v>42804</v>
      </c>
      <c r="V2253" t="s">
        <v>71</v>
      </c>
      <c r="W2253" t="str">
        <f>"           2/2017/PA"</f>
        <v xml:space="preserve">           2/2017/PA</v>
      </c>
      <c r="X2253" s="1">
        <v>30831.84</v>
      </c>
      <c r="Y2253" s="1">
        <v>-4860</v>
      </c>
      <c r="Z2253" s="5">
        <v>25971.84</v>
      </c>
      <c r="AA2253" s="3">
        <v>-29</v>
      </c>
      <c r="AB2253" s="5">
        <v>-753183.36</v>
      </c>
      <c r="AC2253" s="1">
        <v>25971.84</v>
      </c>
      <c r="AD2253">
        <v>-29</v>
      </c>
      <c r="AE2253" s="1">
        <v>-753183.36</v>
      </c>
      <c r="AF2253">
        <v>0</v>
      </c>
      <c r="AJ2253" s="1">
        <v>25971.84</v>
      </c>
      <c r="AK2253" s="1">
        <v>25971.84</v>
      </c>
      <c r="AL2253" s="1">
        <v>25971.84</v>
      </c>
      <c r="AM2253" s="1">
        <v>25971.84</v>
      </c>
      <c r="AN2253" s="1">
        <v>25971.84</v>
      </c>
      <c r="AO2253" s="1">
        <v>25971.84</v>
      </c>
      <c r="AP2253" s="2">
        <v>42831</v>
      </c>
      <c r="AQ2253" t="s">
        <v>72</v>
      </c>
      <c r="AR2253" t="s">
        <v>72</v>
      </c>
      <c r="AS2253">
        <v>363</v>
      </c>
      <c r="AT2253" s="4">
        <v>42775</v>
      </c>
      <c r="AV2253">
        <v>363</v>
      </c>
      <c r="AW2253" s="4">
        <v>42775</v>
      </c>
      <c r="BD2253">
        <v>0</v>
      </c>
      <c r="BN2253" t="s">
        <v>74</v>
      </c>
    </row>
    <row r="2254" spans="1:66" hidden="1">
      <c r="A2254">
        <v>106502</v>
      </c>
      <c r="B2254" t="s">
        <v>481</v>
      </c>
      <c r="C2254" s="1">
        <v>43500101</v>
      </c>
      <c r="D2254" t="s">
        <v>98</v>
      </c>
      <c r="H2254" t="str">
        <f t="shared" ref="H2254:I2256" si="293">"03562770481"</f>
        <v>03562770481</v>
      </c>
      <c r="I2254" t="str">
        <f t="shared" si="293"/>
        <v>03562770481</v>
      </c>
      <c r="K2254" t="str">
        <f>""</f>
        <v/>
      </c>
      <c r="M2254" t="s">
        <v>68</v>
      </c>
      <c r="N2254" t="str">
        <f t="shared" ref="N2254:N2262" si="294">"ALTFIN"</f>
        <v>ALTFIN</v>
      </c>
      <c r="O2254" t="s">
        <v>102</v>
      </c>
      <c r="P2254" t="s">
        <v>82</v>
      </c>
      <c r="Q2254">
        <v>2017</v>
      </c>
      <c r="R2254" s="4">
        <v>42755</v>
      </c>
      <c r="S2254" s="2">
        <v>42755</v>
      </c>
      <c r="T2254" s="2">
        <v>42755</v>
      </c>
      <c r="U2254" s="4">
        <v>42815</v>
      </c>
      <c r="V2254" t="s">
        <v>71</v>
      </c>
      <c r="W2254" t="str">
        <f>"                0120"</f>
        <v xml:space="preserve">                0120</v>
      </c>
      <c r="X2254">
        <v>0</v>
      </c>
      <c r="Y2254" s="1">
        <v>1088</v>
      </c>
      <c r="Z2254" s="5">
        <v>1088</v>
      </c>
      <c r="AA2254" s="3">
        <v>-57</v>
      </c>
      <c r="AB2254" s="5">
        <v>-62016</v>
      </c>
      <c r="AC2254" s="1">
        <v>1088</v>
      </c>
      <c r="AD2254">
        <v>-57</v>
      </c>
      <c r="AE2254" s="1">
        <v>-62016</v>
      </c>
      <c r="AF2254">
        <v>0</v>
      </c>
      <c r="AJ2254" s="1">
        <v>1088</v>
      </c>
      <c r="AK2254" s="1">
        <v>1088</v>
      </c>
      <c r="AL2254" s="1">
        <v>1088</v>
      </c>
      <c r="AM2254" s="1">
        <v>1088</v>
      </c>
      <c r="AN2254" s="1">
        <v>1088</v>
      </c>
      <c r="AO2254" s="1">
        <v>1088</v>
      </c>
      <c r="AP2254" s="2">
        <v>42831</v>
      </c>
      <c r="AQ2254" t="s">
        <v>72</v>
      </c>
      <c r="AR2254" t="s">
        <v>72</v>
      </c>
      <c r="AS2254">
        <v>79</v>
      </c>
      <c r="AT2254" s="4">
        <v>42758</v>
      </c>
      <c r="AV2254">
        <v>79</v>
      </c>
      <c r="AW2254" s="4">
        <v>42758</v>
      </c>
      <c r="BD2254">
        <v>0</v>
      </c>
      <c r="BN2254" t="s">
        <v>74</v>
      </c>
    </row>
    <row r="2255" spans="1:66" hidden="1">
      <c r="A2255">
        <v>106502</v>
      </c>
      <c r="B2255" t="s">
        <v>481</v>
      </c>
      <c r="C2255" s="1">
        <v>43500101</v>
      </c>
      <c r="D2255" t="s">
        <v>98</v>
      </c>
      <c r="H2255" t="str">
        <f t="shared" si="293"/>
        <v>03562770481</v>
      </c>
      <c r="I2255" t="str">
        <f t="shared" si="293"/>
        <v>03562770481</v>
      </c>
      <c r="K2255" t="str">
        <f>""</f>
        <v/>
      </c>
      <c r="M2255" t="s">
        <v>68</v>
      </c>
      <c r="N2255" t="str">
        <f t="shared" si="294"/>
        <v>ALTFIN</v>
      </c>
      <c r="O2255" t="s">
        <v>102</v>
      </c>
      <c r="P2255" t="s">
        <v>83</v>
      </c>
      <c r="Q2255">
        <v>2017</v>
      </c>
      <c r="R2255" s="4">
        <v>42786</v>
      </c>
      <c r="S2255" s="2">
        <v>42787</v>
      </c>
      <c r="T2255" s="2">
        <v>42787</v>
      </c>
      <c r="U2255" s="4">
        <v>42847</v>
      </c>
      <c r="V2255" t="s">
        <v>71</v>
      </c>
      <c r="W2255" t="str">
        <f>"                0220"</f>
        <v xml:space="preserve">                0220</v>
      </c>
      <c r="X2255">
        <v>0</v>
      </c>
      <c r="Y2255">
        <v>888</v>
      </c>
      <c r="Z2255" s="3">
        <v>888</v>
      </c>
      <c r="AA2255" s="3">
        <v>-60</v>
      </c>
      <c r="AB2255" s="5">
        <v>-53280</v>
      </c>
      <c r="AC2255">
        <v>888</v>
      </c>
      <c r="AD2255">
        <v>-60</v>
      </c>
      <c r="AE2255" s="1">
        <v>-53280</v>
      </c>
      <c r="AF2255">
        <v>0</v>
      </c>
      <c r="AJ2255">
        <v>888</v>
      </c>
      <c r="AK2255">
        <v>888</v>
      </c>
      <c r="AL2255">
        <v>888</v>
      </c>
      <c r="AM2255">
        <v>888</v>
      </c>
      <c r="AN2255">
        <v>888</v>
      </c>
      <c r="AO2255">
        <v>888</v>
      </c>
      <c r="AP2255" s="2">
        <v>42831</v>
      </c>
      <c r="AQ2255" t="s">
        <v>72</v>
      </c>
      <c r="AR2255" t="s">
        <v>72</v>
      </c>
      <c r="AS2255">
        <v>559</v>
      </c>
      <c r="AT2255" s="4">
        <v>42787</v>
      </c>
      <c r="AV2255">
        <v>559</v>
      </c>
      <c r="AW2255" s="4">
        <v>42787</v>
      </c>
      <c r="BD2255">
        <v>0</v>
      </c>
      <c r="BN2255" t="s">
        <v>74</v>
      </c>
    </row>
    <row r="2256" spans="1:66" hidden="1">
      <c r="A2256">
        <v>106502</v>
      </c>
      <c r="B2256" t="s">
        <v>481</v>
      </c>
      <c r="C2256" s="1">
        <v>43500101</v>
      </c>
      <c r="D2256" t="s">
        <v>98</v>
      </c>
      <c r="H2256" t="str">
        <f t="shared" si="293"/>
        <v>03562770481</v>
      </c>
      <c r="I2256" t="str">
        <f t="shared" si="293"/>
        <v>03562770481</v>
      </c>
      <c r="K2256" t="str">
        <f>""</f>
        <v/>
      </c>
      <c r="M2256" t="s">
        <v>68</v>
      </c>
      <c r="N2256" t="str">
        <f t="shared" si="294"/>
        <v>ALTFIN</v>
      </c>
      <c r="O2256" t="s">
        <v>102</v>
      </c>
      <c r="P2256" t="s">
        <v>84</v>
      </c>
      <c r="Q2256">
        <v>2017</v>
      </c>
      <c r="R2256" s="4">
        <v>42815</v>
      </c>
      <c r="S2256" s="2">
        <v>42815</v>
      </c>
      <c r="T2256" s="2">
        <v>42815</v>
      </c>
      <c r="U2256" s="4">
        <v>42875</v>
      </c>
      <c r="V2256" t="s">
        <v>71</v>
      </c>
      <c r="W2256" t="str">
        <f>"                0321"</f>
        <v xml:space="preserve">                0321</v>
      </c>
      <c r="X2256">
        <v>0</v>
      </c>
      <c r="Y2256">
        <v>888</v>
      </c>
      <c r="Z2256" s="3">
        <v>888</v>
      </c>
      <c r="AA2256" s="3">
        <v>-60</v>
      </c>
      <c r="AB2256" s="5">
        <v>-53280</v>
      </c>
      <c r="AC2256">
        <v>888</v>
      </c>
      <c r="AD2256">
        <v>-60</v>
      </c>
      <c r="AE2256" s="1">
        <v>-53280</v>
      </c>
      <c r="AF2256">
        <v>0</v>
      </c>
      <c r="AJ2256">
        <v>888</v>
      </c>
      <c r="AK2256">
        <v>888</v>
      </c>
      <c r="AL2256">
        <v>888</v>
      </c>
      <c r="AM2256">
        <v>888</v>
      </c>
      <c r="AN2256">
        <v>888</v>
      </c>
      <c r="AO2256">
        <v>888</v>
      </c>
      <c r="AP2256" s="2">
        <v>42831</v>
      </c>
      <c r="AQ2256" t="s">
        <v>72</v>
      </c>
      <c r="AR2256" t="s">
        <v>72</v>
      </c>
      <c r="AS2256">
        <v>856</v>
      </c>
      <c r="AT2256" s="4">
        <v>42815</v>
      </c>
      <c r="AV2256">
        <v>856</v>
      </c>
      <c r="AW2256" s="4">
        <v>42815</v>
      </c>
      <c r="BD2256">
        <v>0</v>
      </c>
      <c r="BN2256" t="s">
        <v>74</v>
      </c>
    </row>
    <row r="2257" spans="1:66" hidden="1">
      <c r="A2257">
        <v>106504</v>
      </c>
      <c r="B2257" t="s">
        <v>482</v>
      </c>
      <c r="C2257" s="1">
        <v>43500101</v>
      </c>
      <c r="D2257" t="s">
        <v>98</v>
      </c>
      <c r="H2257" t="str">
        <f>"01806740153"</f>
        <v>01806740153</v>
      </c>
      <c r="I2257" t="str">
        <f>"00766790356"</f>
        <v>00766790356</v>
      </c>
      <c r="K2257" t="str">
        <f>""</f>
        <v/>
      </c>
      <c r="M2257" t="s">
        <v>68</v>
      </c>
      <c r="N2257" t="str">
        <f t="shared" si="294"/>
        <v>ALTFIN</v>
      </c>
      <c r="O2257" t="s">
        <v>102</v>
      </c>
      <c r="P2257" t="s">
        <v>82</v>
      </c>
      <c r="Q2257">
        <v>2017</v>
      </c>
      <c r="R2257" s="4">
        <v>42755</v>
      </c>
      <c r="S2257" s="2">
        <v>42755</v>
      </c>
      <c r="T2257" s="2">
        <v>42755</v>
      </c>
      <c r="U2257" s="4">
        <v>42815</v>
      </c>
      <c r="V2257" t="s">
        <v>71</v>
      </c>
      <c r="W2257" t="str">
        <f>"                0120"</f>
        <v xml:space="preserve">                0120</v>
      </c>
      <c r="X2257">
        <v>0</v>
      </c>
      <c r="Y2257" s="1">
        <v>1281</v>
      </c>
      <c r="Z2257" s="5">
        <v>1281</v>
      </c>
      <c r="AA2257" s="3">
        <v>-57</v>
      </c>
      <c r="AB2257" s="5">
        <v>-73017</v>
      </c>
      <c r="AC2257" s="1">
        <v>1281</v>
      </c>
      <c r="AD2257">
        <v>-57</v>
      </c>
      <c r="AE2257" s="1">
        <v>-73017</v>
      </c>
      <c r="AF2257">
        <v>0</v>
      </c>
      <c r="AJ2257" s="1">
        <v>1281</v>
      </c>
      <c r="AK2257" s="1">
        <v>1281</v>
      </c>
      <c r="AL2257" s="1">
        <v>1281</v>
      </c>
      <c r="AM2257" s="1">
        <v>1281</v>
      </c>
      <c r="AN2257" s="1">
        <v>1281</v>
      </c>
      <c r="AO2257" s="1">
        <v>1281</v>
      </c>
      <c r="AP2257" s="2">
        <v>42831</v>
      </c>
      <c r="AQ2257" t="s">
        <v>72</v>
      </c>
      <c r="AR2257" t="s">
        <v>72</v>
      </c>
      <c r="AS2257">
        <v>80</v>
      </c>
      <c r="AT2257" s="4">
        <v>42758</v>
      </c>
      <c r="AV2257">
        <v>80</v>
      </c>
      <c r="AW2257" s="4">
        <v>42758</v>
      </c>
      <c r="BD2257">
        <v>0</v>
      </c>
      <c r="BN2257" t="s">
        <v>74</v>
      </c>
    </row>
    <row r="2258" spans="1:66" hidden="1">
      <c r="A2258">
        <v>106504</v>
      </c>
      <c r="B2258" t="s">
        <v>482</v>
      </c>
      <c r="C2258" s="1">
        <v>43500101</v>
      </c>
      <c r="D2258" t="s">
        <v>98</v>
      </c>
      <c r="H2258" t="str">
        <f>"01806740153"</f>
        <v>01806740153</v>
      </c>
      <c r="I2258" t="str">
        <f>"00766790356"</f>
        <v>00766790356</v>
      </c>
      <c r="K2258" t="str">
        <f>""</f>
        <v/>
      </c>
      <c r="M2258" t="s">
        <v>68</v>
      </c>
      <c r="N2258" t="str">
        <f t="shared" si="294"/>
        <v>ALTFIN</v>
      </c>
      <c r="O2258" t="s">
        <v>102</v>
      </c>
      <c r="P2258" t="s">
        <v>83</v>
      </c>
      <c r="Q2258">
        <v>2017</v>
      </c>
      <c r="R2258" s="4">
        <v>42786</v>
      </c>
      <c r="S2258" s="2">
        <v>42787</v>
      </c>
      <c r="T2258" s="2">
        <v>42787</v>
      </c>
      <c r="U2258" s="4">
        <v>42847</v>
      </c>
      <c r="V2258" t="s">
        <v>71</v>
      </c>
      <c r="W2258" t="str">
        <f>"                0220"</f>
        <v xml:space="preserve">                0220</v>
      </c>
      <c r="X2258">
        <v>0</v>
      </c>
      <c r="Y2258">
        <v>954</v>
      </c>
      <c r="Z2258" s="3">
        <v>954</v>
      </c>
      <c r="AA2258" s="3">
        <v>-60</v>
      </c>
      <c r="AB2258" s="5">
        <v>-57240</v>
      </c>
      <c r="AC2258">
        <v>954</v>
      </c>
      <c r="AD2258">
        <v>-60</v>
      </c>
      <c r="AE2258" s="1">
        <v>-57240</v>
      </c>
      <c r="AF2258">
        <v>0</v>
      </c>
      <c r="AJ2258">
        <v>954</v>
      </c>
      <c r="AK2258">
        <v>954</v>
      </c>
      <c r="AL2258">
        <v>954</v>
      </c>
      <c r="AM2258">
        <v>954</v>
      </c>
      <c r="AN2258">
        <v>954</v>
      </c>
      <c r="AO2258">
        <v>954</v>
      </c>
      <c r="AP2258" s="2">
        <v>42831</v>
      </c>
      <c r="AQ2258" t="s">
        <v>72</v>
      </c>
      <c r="AR2258" t="s">
        <v>72</v>
      </c>
      <c r="AS2258">
        <v>560</v>
      </c>
      <c r="AT2258" s="4">
        <v>42787</v>
      </c>
      <c r="AV2258">
        <v>560</v>
      </c>
      <c r="AW2258" s="4">
        <v>42787</v>
      </c>
      <c r="BD2258">
        <v>0</v>
      </c>
      <c r="BN2258" t="s">
        <v>74</v>
      </c>
    </row>
    <row r="2259" spans="1:66" hidden="1">
      <c r="A2259">
        <v>106504</v>
      </c>
      <c r="B2259" t="s">
        <v>482</v>
      </c>
      <c r="C2259" s="1">
        <v>43500101</v>
      </c>
      <c r="D2259" t="s">
        <v>98</v>
      </c>
      <c r="H2259" t="str">
        <f>"01806740153"</f>
        <v>01806740153</v>
      </c>
      <c r="I2259" t="str">
        <f>"00766790356"</f>
        <v>00766790356</v>
      </c>
      <c r="K2259" t="str">
        <f>""</f>
        <v/>
      </c>
      <c r="M2259" t="s">
        <v>68</v>
      </c>
      <c r="N2259" t="str">
        <f t="shared" si="294"/>
        <v>ALTFIN</v>
      </c>
      <c r="O2259" t="s">
        <v>102</v>
      </c>
      <c r="P2259" t="s">
        <v>84</v>
      </c>
      <c r="Q2259">
        <v>2017</v>
      </c>
      <c r="R2259" s="4">
        <v>42815</v>
      </c>
      <c r="S2259" s="2">
        <v>42815</v>
      </c>
      <c r="T2259" s="2">
        <v>42815</v>
      </c>
      <c r="U2259" s="4">
        <v>42875</v>
      </c>
      <c r="V2259" t="s">
        <v>71</v>
      </c>
      <c r="W2259" t="str">
        <f>"                0321"</f>
        <v xml:space="preserve">                0321</v>
      </c>
      <c r="X2259">
        <v>0</v>
      </c>
      <c r="Y2259">
        <v>954</v>
      </c>
      <c r="Z2259" s="3">
        <v>954</v>
      </c>
      <c r="AA2259" s="3">
        <v>-60</v>
      </c>
      <c r="AB2259" s="5">
        <v>-57240</v>
      </c>
      <c r="AC2259">
        <v>954</v>
      </c>
      <c r="AD2259">
        <v>-60</v>
      </c>
      <c r="AE2259" s="1">
        <v>-57240</v>
      </c>
      <c r="AF2259">
        <v>0</v>
      </c>
      <c r="AJ2259">
        <v>954</v>
      </c>
      <c r="AK2259">
        <v>954</v>
      </c>
      <c r="AL2259">
        <v>954</v>
      </c>
      <c r="AM2259">
        <v>954</v>
      </c>
      <c r="AN2259">
        <v>954</v>
      </c>
      <c r="AO2259">
        <v>954</v>
      </c>
      <c r="AP2259" s="2">
        <v>42831</v>
      </c>
      <c r="AQ2259" t="s">
        <v>72</v>
      </c>
      <c r="AR2259" t="s">
        <v>72</v>
      </c>
      <c r="AS2259">
        <v>857</v>
      </c>
      <c r="AT2259" s="4">
        <v>42815</v>
      </c>
      <c r="AV2259">
        <v>857</v>
      </c>
      <c r="AW2259" s="4">
        <v>42815</v>
      </c>
      <c r="BD2259">
        <v>0</v>
      </c>
      <c r="BN2259" t="s">
        <v>74</v>
      </c>
    </row>
    <row r="2260" spans="1:66" hidden="1">
      <c r="A2260">
        <v>106505</v>
      </c>
      <c r="B2260" t="s">
        <v>483</v>
      </c>
      <c r="C2260" s="1">
        <v>43500101</v>
      </c>
      <c r="D2260" t="s">
        <v>98</v>
      </c>
      <c r="H2260" t="str">
        <f t="shared" ref="H2260:I2262" si="295">"02363620366"</f>
        <v>02363620366</v>
      </c>
      <c r="I2260" t="str">
        <f t="shared" si="295"/>
        <v>02363620366</v>
      </c>
      <c r="K2260" t="str">
        <f>""</f>
        <v/>
      </c>
      <c r="M2260" t="s">
        <v>68</v>
      </c>
      <c r="N2260" t="str">
        <f t="shared" si="294"/>
        <v>ALTFIN</v>
      </c>
      <c r="O2260" t="s">
        <v>102</v>
      </c>
      <c r="P2260" t="s">
        <v>82</v>
      </c>
      <c r="Q2260">
        <v>2017</v>
      </c>
      <c r="R2260" s="4">
        <v>42755</v>
      </c>
      <c r="S2260" s="2">
        <v>42755</v>
      </c>
      <c r="T2260" s="2">
        <v>42755</v>
      </c>
      <c r="U2260" s="4">
        <v>42815</v>
      </c>
      <c r="V2260" t="s">
        <v>71</v>
      </c>
      <c r="W2260" t="str">
        <f>"                0120"</f>
        <v xml:space="preserve">                0120</v>
      </c>
      <c r="X2260">
        <v>0</v>
      </c>
      <c r="Y2260">
        <v>286.24</v>
      </c>
      <c r="Z2260" s="3">
        <v>286.24</v>
      </c>
      <c r="AA2260" s="3">
        <v>-57</v>
      </c>
      <c r="AB2260" s="5">
        <v>-16315.68</v>
      </c>
      <c r="AC2260">
        <v>286.24</v>
      </c>
      <c r="AD2260">
        <v>-57</v>
      </c>
      <c r="AE2260" s="1">
        <v>-16315.68</v>
      </c>
      <c r="AF2260">
        <v>0</v>
      </c>
      <c r="AJ2260">
        <v>286.24</v>
      </c>
      <c r="AK2260">
        <v>286.24</v>
      </c>
      <c r="AL2260">
        <v>286.24</v>
      </c>
      <c r="AM2260">
        <v>286.24</v>
      </c>
      <c r="AN2260">
        <v>286.24</v>
      </c>
      <c r="AO2260">
        <v>286.24</v>
      </c>
      <c r="AP2260" s="2">
        <v>42831</v>
      </c>
      <c r="AQ2260" t="s">
        <v>72</v>
      </c>
      <c r="AR2260" t="s">
        <v>72</v>
      </c>
      <c r="AS2260">
        <v>81</v>
      </c>
      <c r="AT2260" s="4">
        <v>42758</v>
      </c>
      <c r="AV2260">
        <v>81</v>
      </c>
      <c r="AW2260" s="4">
        <v>42758</v>
      </c>
      <c r="BD2260">
        <v>0</v>
      </c>
      <c r="BN2260" t="s">
        <v>74</v>
      </c>
    </row>
    <row r="2261" spans="1:66" hidden="1">
      <c r="A2261">
        <v>106505</v>
      </c>
      <c r="B2261" t="s">
        <v>483</v>
      </c>
      <c r="C2261" s="1">
        <v>43500101</v>
      </c>
      <c r="D2261" t="s">
        <v>98</v>
      </c>
      <c r="H2261" t="str">
        <f t="shared" si="295"/>
        <v>02363620366</v>
      </c>
      <c r="I2261" t="str">
        <f t="shared" si="295"/>
        <v>02363620366</v>
      </c>
      <c r="K2261" t="str">
        <f>""</f>
        <v/>
      </c>
      <c r="M2261" t="s">
        <v>68</v>
      </c>
      <c r="N2261" t="str">
        <f t="shared" si="294"/>
        <v>ALTFIN</v>
      </c>
      <c r="O2261" t="s">
        <v>102</v>
      </c>
      <c r="P2261" t="s">
        <v>83</v>
      </c>
      <c r="Q2261">
        <v>2017</v>
      </c>
      <c r="R2261" s="4">
        <v>42786</v>
      </c>
      <c r="S2261" s="2">
        <v>42787</v>
      </c>
      <c r="T2261" s="2">
        <v>42787</v>
      </c>
      <c r="U2261" s="4">
        <v>42847</v>
      </c>
      <c r="V2261" t="s">
        <v>71</v>
      </c>
      <c r="W2261" t="str">
        <f>"                0220"</f>
        <v xml:space="preserve">                0220</v>
      </c>
      <c r="X2261">
        <v>0</v>
      </c>
      <c r="Y2261">
        <v>286.24</v>
      </c>
      <c r="Z2261" s="3">
        <v>286.24</v>
      </c>
      <c r="AA2261" s="3">
        <v>-60</v>
      </c>
      <c r="AB2261" s="5">
        <v>-17174.400000000001</v>
      </c>
      <c r="AC2261">
        <v>286.24</v>
      </c>
      <c r="AD2261">
        <v>-60</v>
      </c>
      <c r="AE2261" s="1">
        <v>-17174.400000000001</v>
      </c>
      <c r="AF2261">
        <v>0</v>
      </c>
      <c r="AJ2261">
        <v>286.24</v>
      </c>
      <c r="AK2261">
        <v>286.24</v>
      </c>
      <c r="AL2261">
        <v>286.24</v>
      </c>
      <c r="AM2261">
        <v>286.24</v>
      </c>
      <c r="AN2261">
        <v>286.24</v>
      </c>
      <c r="AO2261">
        <v>286.24</v>
      </c>
      <c r="AP2261" s="2">
        <v>42831</v>
      </c>
      <c r="AQ2261" t="s">
        <v>72</v>
      </c>
      <c r="AR2261" t="s">
        <v>72</v>
      </c>
      <c r="AS2261">
        <v>561</v>
      </c>
      <c r="AT2261" s="4">
        <v>42787</v>
      </c>
      <c r="AV2261">
        <v>561</v>
      </c>
      <c r="AW2261" s="4">
        <v>42787</v>
      </c>
      <c r="BD2261">
        <v>0</v>
      </c>
      <c r="BN2261" t="s">
        <v>74</v>
      </c>
    </row>
    <row r="2262" spans="1:66" hidden="1">
      <c r="A2262">
        <v>106505</v>
      </c>
      <c r="B2262" t="s">
        <v>483</v>
      </c>
      <c r="C2262" s="1">
        <v>43500101</v>
      </c>
      <c r="D2262" t="s">
        <v>98</v>
      </c>
      <c r="H2262" t="str">
        <f t="shared" si="295"/>
        <v>02363620366</v>
      </c>
      <c r="I2262" t="str">
        <f t="shared" si="295"/>
        <v>02363620366</v>
      </c>
      <c r="K2262" t="str">
        <f>""</f>
        <v/>
      </c>
      <c r="M2262" t="s">
        <v>68</v>
      </c>
      <c r="N2262" t="str">
        <f t="shared" si="294"/>
        <v>ALTFIN</v>
      </c>
      <c r="O2262" t="s">
        <v>102</v>
      </c>
      <c r="P2262" t="s">
        <v>84</v>
      </c>
      <c r="Q2262">
        <v>2017</v>
      </c>
      <c r="R2262" s="4">
        <v>42815</v>
      </c>
      <c r="S2262" s="2">
        <v>42815</v>
      </c>
      <c r="T2262" s="2">
        <v>42815</v>
      </c>
      <c r="U2262" s="4">
        <v>42875</v>
      </c>
      <c r="V2262" t="s">
        <v>71</v>
      </c>
      <c r="W2262" t="str">
        <f>"                0321"</f>
        <v xml:space="preserve">                0321</v>
      </c>
      <c r="X2262">
        <v>0</v>
      </c>
      <c r="Y2262">
        <v>286.24</v>
      </c>
      <c r="Z2262" s="3">
        <v>286.24</v>
      </c>
      <c r="AA2262" s="3">
        <v>-60</v>
      </c>
      <c r="AB2262" s="5">
        <v>-17174.400000000001</v>
      </c>
      <c r="AC2262">
        <v>286.24</v>
      </c>
      <c r="AD2262">
        <v>-60</v>
      </c>
      <c r="AE2262" s="1">
        <v>-17174.400000000001</v>
      </c>
      <c r="AF2262">
        <v>0</v>
      </c>
      <c r="AJ2262">
        <v>286.24</v>
      </c>
      <c r="AK2262">
        <v>286.24</v>
      </c>
      <c r="AL2262">
        <v>286.24</v>
      </c>
      <c r="AM2262">
        <v>286.24</v>
      </c>
      <c r="AN2262">
        <v>286.24</v>
      </c>
      <c r="AO2262">
        <v>286.24</v>
      </c>
      <c r="AP2262" s="2">
        <v>42831</v>
      </c>
      <c r="AQ2262" t="s">
        <v>72</v>
      </c>
      <c r="AR2262" t="s">
        <v>72</v>
      </c>
      <c r="AS2262">
        <v>858</v>
      </c>
      <c r="AT2262" s="4">
        <v>42815</v>
      </c>
      <c r="AV2262">
        <v>858</v>
      </c>
      <c r="AW2262" s="4">
        <v>42815</v>
      </c>
      <c r="BD2262">
        <v>0</v>
      </c>
      <c r="BN2262" t="s">
        <v>74</v>
      </c>
    </row>
    <row r="2263" spans="1:66">
      <c r="A2263">
        <v>106529</v>
      </c>
      <c r="B2263" t="s">
        <v>484</v>
      </c>
      <c r="C2263" s="1">
        <v>43300101</v>
      </c>
      <c r="D2263" t="s">
        <v>67</v>
      </c>
      <c r="H2263" t="str">
        <f>"07699621210"</f>
        <v>07699621210</v>
      </c>
      <c r="I2263" t="str">
        <f>"07699621210"</f>
        <v>07699621210</v>
      </c>
      <c r="K2263" t="str">
        <f>""</f>
        <v/>
      </c>
      <c r="M2263" t="s">
        <v>68</v>
      </c>
      <c r="N2263" t="str">
        <f t="shared" ref="N2263:N2294" si="296">"FOR"</f>
        <v>FOR</v>
      </c>
      <c r="O2263" t="s">
        <v>69</v>
      </c>
      <c r="P2263" t="s">
        <v>75</v>
      </c>
      <c r="Q2263">
        <v>2016</v>
      </c>
      <c r="R2263" s="4">
        <v>42695</v>
      </c>
      <c r="S2263" s="2">
        <v>42695</v>
      </c>
      <c r="T2263" s="2">
        <v>42695</v>
      </c>
      <c r="U2263" s="4">
        <v>42755</v>
      </c>
      <c r="V2263" t="s">
        <v>71</v>
      </c>
      <c r="W2263" t="str">
        <f>"                  11"</f>
        <v xml:space="preserve">                  11</v>
      </c>
      <c r="X2263">
        <v>307.44</v>
      </c>
      <c r="Y2263">
        <v>0</v>
      </c>
      <c r="Z2263" s="5">
        <v>252</v>
      </c>
      <c r="AA2263" s="3">
        <v>13</v>
      </c>
      <c r="AB2263" s="5">
        <v>3276</v>
      </c>
      <c r="AC2263">
        <v>252</v>
      </c>
      <c r="AD2263">
        <v>13</v>
      </c>
      <c r="AE2263" s="1">
        <v>3276</v>
      </c>
      <c r="AF2263">
        <v>0</v>
      </c>
      <c r="AJ2263">
        <v>0</v>
      </c>
      <c r="AK2263">
        <v>0</v>
      </c>
      <c r="AL2263">
        <v>0</v>
      </c>
      <c r="AM2263">
        <v>0</v>
      </c>
      <c r="AN2263">
        <v>0</v>
      </c>
      <c r="AO2263">
        <v>0</v>
      </c>
      <c r="AP2263" s="2">
        <v>42831</v>
      </c>
      <c r="AQ2263" t="s">
        <v>72</v>
      </c>
      <c r="AR2263" t="s">
        <v>72</v>
      </c>
      <c r="AS2263">
        <v>240</v>
      </c>
      <c r="AT2263" s="4">
        <v>42768</v>
      </c>
      <c r="AU2263" t="s">
        <v>73</v>
      </c>
      <c r="AV2263">
        <v>240</v>
      </c>
      <c r="AW2263" s="4">
        <v>42768</v>
      </c>
      <c r="BD2263">
        <v>0</v>
      </c>
      <c r="BN2263" t="s">
        <v>74</v>
      </c>
    </row>
    <row r="2264" spans="1:66">
      <c r="A2264">
        <v>106531</v>
      </c>
      <c r="B2264" t="s">
        <v>485</v>
      </c>
      <c r="C2264" s="1">
        <v>43300101</v>
      </c>
      <c r="D2264" t="s">
        <v>67</v>
      </c>
      <c r="H2264" t="str">
        <f t="shared" ref="H2264:I2266" si="297">"03653370282"</f>
        <v>03653370282</v>
      </c>
      <c r="I2264" t="str">
        <f t="shared" si="297"/>
        <v>03653370282</v>
      </c>
      <c r="K2264" t="str">
        <f>""</f>
        <v/>
      </c>
      <c r="M2264" t="s">
        <v>68</v>
      </c>
      <c r="N2264" t="str">
        <f t="shared" si="296"/>
        <v>FOR</v>
      </c>
      <c r="O2264" t="s">
        <v>69</v>
      </c>
      <c r="P2264" t="s">
        <v>75</v>
      </c>
      <c r="Q2264">
        <v>2016</v>
      </c>
      <c r="R2264" s="4">
        <v>42515</v>
      </c>
      <c r="S2264" s="2">
        <v>42516</v>
      </c>
      <c r="T2264" s="2">
        <v>42515</v>
      </c>
      <c r="U2264" s="4">
        <v>42575</v>
      </c>
      <c r="V2264" t="s">
        <v>71</v>
      </c>
      <c r="W2264" t="str">
        <f>"             1181/PA"</f>
        <v xml:space="preserve">             1181/PA</v>
      </c>
      <c r="X2264" s="1">
        <v>4026</v>
      </c>
      <c r="Y2264">
        <v>0</v>
      </c>
      <c r="Z2264" s="5">
        <v>3300</v>
      </c>
      <c r="AA2264" s="3">
        <v>220</v>
      </c>
      <c r="AB2264" s="5">
        <v>726000</v>
      </c>
      <c r="AC2264" s="1">
        <v>3300</v>
      </c>
      <c r="AD2264">
        <v>220</v>
      </c>
      <c r="AE2264" s="1">
        <v>726000</v>
      </c>
      <c r="AF2264">
        <v>726</v>
      </c>
      <c r="AJ2264">
        <v>0</v>
      </c>
      <c r="AK2264">
        <v>0</v>
      </c>
      <c r="AL2264">
        <v>0</v>
      </c>
      <c r="AM2264">
        <v>0</v>
      </c>
      <c r="AN2264">
        <v>0</v>
      </c>
      <c r="AO2264">
        <v>0</v>
      </c>
      <c r="AP2264" s="2">
        <v>42831</v>
      </c>
      <c r="AQ2264" t="s">
        <v>72</v>
      </c>
      <c r="AR2264" t="s">
        <v>72</v>
      </c>
      <c r="AS2264">
        <v>629</v>
      </c>
      <c r="AT2264" s="4">
        <v>42795</v>
      </c>
      <c r="AU2264" t="s">
        <v>73</v>
      </c>
      <c r="AV2264">
        <v>629</v>
      </c>
      <c r="AW2264" s="4">
        <v>42795</v>
      </c>
      <c r="BD2264">
        <v>726</v>
      </c>
      <c r="BN2264" t="s">
        <v>74</v>
      </c>
    </row>
    <row r="2265" spans="1:66">
      <c r="A2265">
        <v>106531</v>
      </c>
      <c r="B2265" t="s">
        <v>485</v>
      </c>
      <c r="C2265" s="1">
        <v>43300101</v>
      </c>
      <c r="D2265" t="s">
        <v>67</v>
      </c>
      <c r="H2265" t="str">
        <f t="shared" si="297"/>
        <v>03653370282</v>
      </c>
      <c r="I2265" t="str">
        <f t="shared" si="297"/>
        <v>03653370282</v>
      </c>
      <c r="K2265" t="str">
        <f>""</f>
        <v/>
      </c>
      <c r="M2265" t="s">
        <v>68</v>
      </c>
      <c r="N2265" t="str">
        <f t="shared" si="296"/>
        <v>FOR</v>
      </c>
      <c r="O2265" t="s">
        <v>69</v>
      </c>
      <c r="P2265" t="s">
        <v>75</v>
      </c>
      <c r="Q2265">
        <v>2016</v>
      </c>
      <c r="R2265" s="4">
        <v>42580</v>
      </c>
      <c r="S2265" s="2">
        <v>42584</v>
      </c>
      <c r="T2265" s="2">
        <v>42580</v>
      </c>
      <c r="U2265" s="4">
        <v>42640</v>
      </c>
      <c r="V2265" t="s">
        <v>71</v>
      </c>
      <c r="W2265" t="str">
        <f>"             1736/PA"</f>
        <v xml:space="preserve">             1736/PA</v>
      </c>
      <c r="X2265" s="1">
        <v>4026</v>
      </c>
      <c r="Y2265">
        <v>0</v>
      </c>
      <c r="Z2265" s="5">
        <v>3300</v>
      </c>
      <c r="AA2265" s="3">
        <v>155</v>
      </c>
      <c r="AB2265" s="5">
        <v>511500</v>
      </c>
      <c r="AC2265" s="1">
        <v>3300</v>
      </c>
      <c r="AD2265">
        <v>155</v>
      </c>
      <c r="AE2265" s="1">
        <v>511500</v>
      </c>
      <c r="AF2265">
        <v>726</v>
      </c>
      <c r="AJ2265">
        <v>0</v>
      </c>
      <c r="AK2265">
        <v>0</v>
      </c>
      <c r="AL2265">
        <v>0</v>
      </c>
      <c r="AM2265">
        <v>0</v>
      </c>
      <c r="AN2265">
        <v>0</v>
      </c>
      <c r="AO2265">
        <v>0</v>
      </c>
      <c r="AP2265" s="2">
        <v>42831</v>
      </c>
      <c r="AQ2265" t="s">
        <v>72</v>
      </c>
      <c r="AR2265" t="s">
        <v>72</v>
      </c>
      <c r="AS2265">
        <v>629</v>
      </c>
      <c r="AT2265" s="4">
        <v>42795</v>
      </c>
      <c r="AU2265" t="s">
        <v>73</v>
      </c>
      <c r="AV2265">
        <v>629</v>
      </c>
      <c r="AW2265" s="4">
        <v>42795</v>
      </c>
      <c r="BD2265">
        <v>726</v>
      </c>
      <c r="BN2265" t="s">
        <v>74</v>
      </c>
    </row>
    <row r="2266" spans="1:66">
      <c r="A2266">
        <v>106531</v>
      </c>
      <c r="B2266" t="s">
        <v>485</v>
      </c>
      <c r="C2266" s="1">
        <v>43300101</v>
      </c>
      <c r="D2266" t="s">
        <v>67</v>
      </c>
      <c r="H2266" t="str">
        <f t="shared" si="297"/>
        <v>03653370282</v>
      </c>
      <c r="I2266" t="str">
        <f t="shared" si="297"/>
        <v>03653370282</v>
      </c>
      <c r="K2266" t="str">
        <f>""</f>
        <v/>
      </c>
      <c r="M2266" t="s">
        <v>68</v>
      </c>
      <c r="N2266" t="str">
        <f t="shared" si="296"/>
        <v>FOR</v>
      </c>
      <c r="O2266" t="s">
        <v>69</v>
      </c>
      <c r="P2266" t="s">
        <v>75</v>
      </c>
      <c r="Q2266">
        <v>2016</v>
      </c>
      <c r="R2266" s="4">
        <v>42698</v>
      </c>
      <c r="S2266" s="2">
        <v>42704</v>
      </c>
      <c r="T2266" s="2">
        <v>42698</v>
      </c>
      <c r="U2266" s="4">
        <v>42758</v>
      </c>
      <c r="V2266" t="s">
        <v>71</v>
      </c>
      <c r="W2266" t="str">
        <f>"             2623/PA"</f>
        <v xml:space="preserve">             2623/PA</v>
      </c>
      <c r="X2266" s="1">
        <v>4026</v>
      </c>
      <c r="Y2266">
        <v>0</v>
      </c>
      <c r="Z2266" s="5">
        <v>3300</v>
      </c>
      <c r="AA2266" s="3">
        <v>37</v>
      </c>
      <c r="AB2266" s="5">
        <v>122100</v>
      </c>
      <c r="AC2266" s="1">
        <v>3300</v>
      </c>
      <c r="AD2266">
        <v>37</v>
      </c>
      <c r="AE2266" s="1">
        <v>122100</v>
      </c>
      <c r="AF2266">
        <v>726</v>
      </c>
      <c r="AJ2266">
        <v>0</v>
      </c>
      <c r="AK2266">
        <v>0</v>
      </c>
      <c r="AL2266">
        <v>0</v>
      </c>
      <c r="AM2266">
        <v>0</v>
      </c>
      <c r="AN2266">
        <v>0</v>
      </c>
      <c r="AO2266">
        <v>0</v>
      </c>
      <c r="AP2266" s="2">
        <v>42831</v>
      </c>
      <c r="AQ2266" t="s">
        <v>72</v>
      </c>
      <c r="AR2266" t="s">
        <v>72</v>
      </c>
      <c r="AS2266">
        <v>629</v>
      </c>
      <c r="AT2266" s="4">
        <v>42795</v>
      </c>
      <c r="AU2266" t="s">
        <v>73</v>
      </c>
      <c r="AV2266">
        <v>629</v>
      </c>
      <c r="AW2266" s="4">
        <v>42795</v>
      </c>
      <c r="AZ2266">
        <v>726</v>
      </c>
      <c r="BD2266">
        <v>0</v>
      </c>
      <c r="BN2266" t="s">
        <v>74</v>
      </c>
    </row>
    <row r="2267" spans="1:66">
      <c r="A2267">
        <v>106535</v>
      </c>
      <c r="B2267" t="s">
        <v>486</v>
      </c>
      <c r="C2267" s="1">
        <v>43300101</v>
      </c>
      <c r="D2267" t="s">
        <v>67</v>
      </c>
      <c r="H2267" t="str">
        <f t="shared" ref="H2267:I2286" si="298">"08862820969"</f>
        <v>08862820969</v>
      </c>
      <c r="I2267" t="str">
        <f t="shared" si="298"/>
        <v>08862820969</v>
      </c>
      <c r="K2267" t="str">
        <f>""</f>
        <v/>
      </c>
      <c r="M2267" t="s">
        <v>68</v>
      </c>
      <c r="N2267" t="str">
        <f t="shared" si="296"/>
        <v>FOR</v>
      </c>
      <c r="O2267" t="s">
        <v>69</v>
      </c>
      <c r="P2267" t="s">
        <v>75</v>
      </c>
      <c r="Q2267">
        <v>2016</v>
      </c>
      <c r="R2267" s="4">
        <v>42495</v>
      </c>
      <c r="S2267" s="2">
        <v>42496</v>
      </c>
      <c r="T2267" s="2">
        <v>42495</v>
      </c>
      <c r="U2267" s="4">
        <v>42555</v>
      </c>
      <c r="V2267" t="s">
        <v>71</v>
      </c>
      <c r="W2267" t="str">
        <f>"          2016104324"</f>
        <v xml:space="preserve">          2016104324</v>
      </c>
      <c r="X2267" s="1">
        <v>1037</v>
      </c>
      <c r="Y2267">
        <v>0</v>
      </c>
      <c r="Z2267" s="5">
        <v>850</v>
      </c>
      <c r="AA2267" s="3">
        <v>219</v>
      </c>
      <c r="AB2267" s="5">
        <v>186150</v>
      </c>
      <c r="AC2267">
        <v>850</v>
      </c>
      <c r="AD2267">
        <v>219</v>
      </c>
      <c r="AE2267" s="1">
        <v>186150</v>
      </c>
      <c r="AF2267">
        <v>0</v>
      </c>
      <c r="AJ2267">
        <v>0</v>
      </c>
      <c r="AK2267">
        <v>0</v>
      </c>
      <c r="AL2267">
        <v>0</v>
      </c>
      <c r="AM2267">
        <v>0</v>
      </c>
      <c r="AN2267">
        <v>0</v>
      </c>
      <c r="AO2267">
        <v>0</v>
      </c>
      <c r="AP2267" s="2">
        <v>42831</v>
      </c>
      <c r="AQ2267" t="s">
        <v>72</v>
      </c>
      <c r="AR2267" t="s">
        <v>72</v>
      </c>
      <c r="AS2267">
        <v>319</v>
      </c>
      <c r="AT2267" s="4">
        <v>42774</v>
      </c>
      <c r="AU2267" t="s">
        <v>73</v>
      </c>
      <c r="AV2267">
        <v>319</v>
      </c>
      <c r="AW2267" s="4">
        <v>42774</v>
      </c>
      <c r="BD2267">
        <v>0</v>
      </c>
      <c r="BN2267" t="s">
        <v>74</v>
      </c>
    </row>
    <row r="2268" spans="1:66">
      <c r="A2268">
        <v>106535</v>
      </c>
      <c r="B2268" t="s">
        <v>486</v>
      </c>
      <c r="C2268" s="1">
        <v>43300101</v>
      </c>
      <c r="D2268" t="s">
        <v>67</v>
      </c>
      <c r="H2268" t="str">
        <f t="shared" si="298"/>
        <v>08862820969</v>
      </c>
      <c r="I2268" t="str">
        <f t="shared" si="298"/>
        <v>08862820969</v>
      </c>
      <c r="K2268" t="str">
        <f>""</f>
        <v/>
      </c>
      <c r="M2268" t="s">
        <v>68</v>
      </c>
      <c r="N2268" t="str">
        <f t="shared" si="296"/>
        <v>FOR</v>
      </c>
      <c r="O2268" t="s">
        <v>69</v>
      </c>
      <c r="P2268" t="s">
        <v>75</v>
      </c>
      <c r="Q2268">
        <v>2016</v>
      </c>
      <c r="R2268" s="4">
        <v>42495</v>
      </c>
      <c r="S2268" s="2">
        <v>42496</v>
      </c>
      <c r="T2268" s="2">
        <v>42495</v>
      </c>
      <c r="U2268" s="4">
        <v>42555</v>
      </c>
      <c r="V2268" t="s">
        <v>71</v>
      </c>
      <c r="W2268" t="str">
        <f>"          2016104325"</f>
        <v xml:space="preserve">          2016104325</v>
      </c>
      <c r="X2268" s="1">
        <v>1037</v>
      </c>
      <c r="Y2268">
        <v>0</v>
      </c>
      <c r="Z2268" s="5">
        <v>850</v>
      </c>
      <c r="AA2268" s="3">
        <v>219</v>
      </c>
      <c r="AB2268" s="5">
        <v>186150</v>
      </c>
      <c r="AC2268">
        <v>850</v>
      </c>
      <c r="AD2268">
        <v>219</v>
      </c>
      <c r="AE2268" s="1">
        <v>186150</v>
      </c>
      <c r="AF2268">
        <v>0</v>
      </c>
      <c r="AJ2268">
        <v>0</v>
      </c>
      <c r="AK2268">
        <v>0</v>
      </c>
      <c r="AL2268">
        <v>0</v>
      </c>
      <c r="AM2268">
        <v>0</v>
      </c>
      <c r="AN2268">
        <v>0</v>
      </c>
      <c r="AO2268">
        <v>0</v>
      </c>
      <c r="AP2268" s="2">
        <v>42831</v>
      </c>
      <c r="AQ2268" t="s">
        <v>72</v>
      </c>
      <c r="AR2268" t="s">
        <v>72</v>
      </c>
      <c r="AS2268">
        <v>319</v>
      </c>
      <c r="AT2268" s="4">
        <v>42774</v>
      </c>
      <c r="AU2268" t="s">
        <v>73</v>
      </c>
      <c r="AV2268">
        <v>319</v>
      </c>
      <c r="AW2268" s="4">
        <v>42774</v>
      </c>
      <c r="BD2268">
        <v>0</v>
      </c>
      <c r="BN2268" t="s">
        <v>74</v>
      </c>
    </row>
    <row r="2269" spans="1:66">
      <c r="A2269">
        <v>106535</v>
      </c>
      <c r="B2269" t="s">
        <v>486</v>
      </c>
      <c r="C2269" s="1">
        <v>43300101</v>
      </c>
      <c r="D2269" t="s">
        <v>67</v>
      </c>
      <c r="H2269" t="str">
        <f t="shared" si="298"/>
        <v>08862820969</v>
      </c>
      <c r="I2269" t="str">
        <f t="shared" si="298"/>
        <v>08862820969</v>
      </c>
      <c r="K2269" t="str">
        <f>""</f>
        <v/>
      </c>
      <c r="M2269" t="s">
        <v>68</v>
      </c>
      <c r="N2269" t="str">
        <f t="shared" si="296"/>
        <v>FOR</v>
      </c>
      <c r="O2269" t="s">
        <v>69</v>
      </c>
      <c r="P2269" t="s">
        <v>75</v>
      </c>
      <c r="Q2269">
        <v>2016</v>
      </c>
      <c r="R2269" s="4">
        <v>42495</v>
      </c>
      <c r="S2269" s="2">
        <v>42496</v>
      </c>
      <c r="T2269" s="2">
        <v>42495</v>
      </c>
      <c r="U2269" s="4">
        <v>42555</v>
      </c>
      <c r="V2269" t="s">
        <v>71</v>
      </c>
      <c r="W2269" t="str">
        <f>"          2016104326"</f>
        <v xml:space="preserve">          2016104326</v>
      </c>
      <c r="X2269">
        <v>854</v>
      </c>
      <c r="Y2269">
        <v>0</v>
      </c>
      <c r="Z2269" s="5">
        <v>700</v>
      </c>
      <c r="AA2269" s="3">
        <v>219</v>
      </c>
      <c r="AB2269" s="5">
        <v>153300</v>
      </c>
      <c r="AC2269">
        <v>700</v>
      </c>
      <c r="AD2269">
        <v>219</v>
      </c>
      <c r="AE2269" s="1">
        <v>153300</v>
      </c>
      <c r="AF2269">
        <v>0</v>
      </c>
      <c r="AJ2269">
        <v>0</v>
      </c>
      <c r="AK2269">
        <v>0</v>
      </c>
      <c r="AL2269">
        <v>0</v>
      </c>
      <c r="AM2269">
        <v>0</v>
      </c>
      <c r="AN2269">
        <v>0</v>
      </c>
      <c r="AO2269">
        <v>0</v>
      </c>
      <c r="AP2269" s="2">
        <v>42831</v>
      </c>
      <c r="AQ2269" t="s">
        <v>72</v>
      </c>
      <c r="AR2269" t="s">
        <v>72</v>
      </c>
      <c r="AS2269">
        <v>319</v>
      </c>
      <c r="AT2269" s="4">
        <v>42774</v>
      </c>
      <c r="AU2269" t="s">
        <v>73</v>
      </c>
      <c r="AV2269">
        <v>319</v>
      </c>
      <c r="AW2269" s="4">
        <v>42774</v>
      </c>
      <c r="BD2269">
        <v>0</v>
      </c>
      <c r="BN2269" t="s">
        <v>74</v>
      </c>
    </row>
    <row r="2270" spans="1:66">
      <c r="A2270">
        <v>106535</v>
      </c>
      <c r="B2270" t="s">
        <v>486</v>
      </c>
      <c r="C2270" s="1">
        <v>43300101</v>
      </c>
      <c r="D2270" t="s">
        <v>67</v>
      </c>
      <c r="H2270" t="str">
        <f t="shared" si="298"/>
        <v>08862820969</v>
      </c>
      <c r="I2270" t="str">
        <f t="shared" si="298"/>
        <v>08862820969</v>
      </c>
      <c r="K2270" t="str">
        <f>""</f>
        <v/>
      </c>
      <c r="M2270" t="s">
        <v>68</v>
      </c>
      <c r="N2270" t="str">
        <f t="shared" si="296"/>
        <v>FOR</v>
      </c>
      <c r="O2270" t="s">
        <v>69</v>
      </c>
      <c r="P2270" t="s">
        <v>75</v>
      </c>
      <c r="Q2270">
        <v>2016</v>
      </c>
      <c r="R2270" s="4">
        <v>42496</v>
      </c>
      <c r="S2270" s="2">
        <v>42501</v>
      </c>
      <c r="T2270" s="2">
        <v>42496</v>
      </c>
      <c r="U2270" s="4">
        <v>42556</v>
      </c>
      <c r="V2270" t="s">
        <v>71</v>
      </c>
      <c r="W2270" t="str">
        <f>"          2016104384"</f>
        <v xml:space="preserve">          2016104384</v>
      </c>
      <c r="X2270" s="1">
        <v>1464</v>
      </c>
      <c r="Y2270">
        <v>0</v>
      </c>
      <c r="Z2270" s="5">
        <v>1200</v>
      </c>
      <c r="AA2270" s="3">
        <v>218</v>
      </c>
      <c r="AB2270" s="5">
        <v>261600</v>
      </c>
      <c r="AC2270" s="1">
        <v>1200</v>
      </c>
      <c r="AD2270">
        <v>218</v>
      </c>
      <c r="AE2270" s="1">
        <v>261600</v>
      </c>
      <c r="AF2270">
        <v>0</v>
      </c>
      <c r="AJ2270">
        <v>0</v>
      </c>
      <c r="AK2270">
        <v>0</v>
      </c>
      <c r="AL2270">
        <v>0</v>
      </c>
      <c r="AM2270">
        <v>0</v>
      </c>
      <c r="AN2270">
        <v>0</v>
      </c>
      <c r="AO2270">
        <v>0</v>
      </c>
      <c r="AP2270" s="2">
        <v>42831</v>
      </c>
      <c r="AQ2270" t="s">
        <v>72</v>
      </c>
      <c r="AR2270" t="s">
        <v>72</v>
      </c>
      <c r="AS2270">
        <v>319</v>
      </c>
      <c r="AT2270" s="4">
        <v>42774</v>
      </c>
      <c r="AU2270" t="s">
        <v>73</v>
      </c>
      <c r="AV2270">
        <v>319</v>
      </c>
      <c r="AW2270" s="4">
        <v>42774</v>
      </c>
      <c r="BD2270">
        <v>0</v>
      </c>
      <c r="BN2270" t="s">
        <v>74</v>
      </c>
    </row>
    <row r="2271" spans="1:66">
      <c r="A2271">
        <v>106535</v>
      </c>
      <c r="B2271" t="s">
        <v>486</v>
      </c>
      <c r="C2271" s="1">
        <v>43300101</v>
      </c>
      <c r="D2271" t="s">
        <v>67</v>
      </c>
      <c r="H2271" t="str">
        <f t="shared" si="298"/>
        <v>08862820969</v>
      </c>
      <c r="I2271" t="str">
        <f t="shared" si="298"/>
        <v>08862820969</v>
      </c>
      <c r="K2271" t="str">
        <f>""</f>
        <v/>
      </c>
      <c r="M2271" t="s">
        <v>68</v>
      </c>
      <c r="N2271" t="str">
        <f t="shared" si="296"/>
        <v>FOR</v>
      </c>
      <c r="O2271" t="s">
        <v>69</v>
      </c>
      <c r="P2271" t="s">
        <v>75</v>
      </c>
      <c r="Q2271">
        <v>2016</v>
      </c>
      <c r="R2271" s="4">
        <v>42508</v>
      </c>
      <c r="S2271" s="2">
        <v>42514</v>
      </c>
      <c r="T2271" s="2">
        <v>42508</v>
      </c>
      <c r="U2271" s="4">
        <v>42568</v>
      </c>
      <c r="V2271" t="s">
        <v>71</v>
      </c>
      <c r="W2271" t="str">
        <f>"          2016104753"</f>
        <v xml:space="preserve">          2016104753</v>
      </c>
      <c r="X2271">
        <v>463.6</v>
      </c>
      <c r="Y2271">
        <v>0</v>
      </c>
      <c r="Z2271" s="5">
        <v>380</v>
      </c>
      <c r="AA2271" s="3">
        <v>206</v>
      </c>
      <c r="AB2271" s="5">
        <v>78280</v>
      </c>
      <c r="AC2271">
        <v>380</v>
      </c>
      <c r="AD2271">
        <v>206</v>
      </c>
      <c r="AE2271" s="1">
        <v>78280</v>
      </c>
      <c r="AF2271">
        <v>0</v>
      </c>
      <c r="AJ2271">
        <v>0</v>
      </c>
      <c r="AK2271">
        <v>0</v>
      </c>
      <c r="AL2271">
        <v>0</v>
      </c>
      <c r="AM2271">
        <v>0</v>
      </c>
      <c r="AN2271">
        <v>0</v>
      </c>
      <c r="AO2271">
        <v>0</v>
      </c>
      <c r="AP2271" s="2">
        <v>42831</v>
      </c>
      <c r="AQ2271" t="s">
        <v>72</v>
      </c>
      <c r="AR2271" t="s">
        <v>72</v>
      </c>
      <c r="AS2271">
        <v>319</v>
      </c>
      <c r="AT2271" s="4">
        <v>42774</v>
      </c>
      <c r="AU2271" t="s">
        <v>73</v>
      </c>
      <c r="AV2271">
        <v>319</v>
      </c>
      <c r="AW2271" s="4">
        <v>42774</v>
      </c>
      <c r="BD2271">
        <v>0</v>
      </c>
      <c r="BN2271" t="s">
        <v>74</v>
      </c>
    </row>
    <row r="2272" spans="1:66">
      <c r="A2272">
        <v>106535</v>
      </c>
      <c r="B2272" t="s">
        <v>486</v>
      </c>
      <c r="C2272" s="1">
        <v>43300101</v>
      </c>
      <c r="D2272" t="s">
        <v>67</v>
      </c>
      <c r="H2272" t="str">
        <f t="shared" si="298"/>
        <v>08862820969</v>
      </c>
      <c r="I2272" t="str">
        <f t="shared" si="298"/>
        <v>08862820969</v>
      </c>
      <c r="K2272" t="str">
        <f>""</f>
        <v/>
      </c>
      <c r="M2272" t="s">
        <v>68</v>
      </c>
      <c r="N2272" t="str">
        <f t="shared" si="296"/>
        <v>FOR</v>
      </c>
      <c r="O2272" t="s">
        <v>69</v>
      </c>
      <c r="P2272" t="s">
        <v>75</v>
      </c>
      <c r="Q2272">
        <v>2016</v>
      </c>
      <c r="R2272" s="4">
        <v>42521</v>
      </c>
      <c r="S2272" s="2">
        <v>42521</v>
      </c>
      <c r="T2272" s="2">
        <v>42521</v>
      </c>
      <c r="U2272" s="4">
        <v>42581</v>
      </c>
      <c r="V2272" t="s">
        <v>71</v>
      </c>
      <c r="W2272" t="str">
        <f>"          2016105306"</f>
        <v xml:space="preserve">          2016105306</v>
      </c>
      <c r="X2272">
        <v>231.8</v>
      </c>
      <c r="Y2272">
        <v>0</v>
      </c>
      <c r="Z2272" s="5">
        <v>190</v>
      </c>
      <c r="AA2272" s="3">
        <v>193</v>
      </c>
      <c r="AB2272" s="5">
        <v>36670</v>
      </c>
      <c r="AC2272">
        <v>190</v>
      </c>
      <c r="AD2272">
        <v>193</v>
      </c>
      <c r="AE2272" s="1">
        <v>36670</v>
      </c>
      <c r="AF2272">
        <v>0</v>
      </c>
      <c r="AJ2272">
        <v>0</v>
      </c>
      <c r="AK2272">
        <v>0</v>
      </c>
      <c r="AL2272">
        <v>0</v>
      </c>
      <c r="AM2272">
        <v>0</v>
      </c>
      <c r="AN2272">
        <v>0</v>
      </c>
      <c r="AO2272">
        <v>0</v>
      </c>
      <c r="AP2272" s="2">
        <v>42831</v>
      </c>
      <c r="AQ2272" t="s">
        <v>72</v>
      </c>
      <c r="AR2272" t="s">
        <v>72</v>
      </c>
      <c r="AS2272">
        <v>319</v>
      </c>
      <c r="AT2272" s="4">
        <v>42774</v>
      </c>
      <c r="AU2272" t="s">
        <v>73</v>
      </c>
      <c r="AV2272">
        <v>319</v>
      </c>
      <c r="AW2272" s="4">
        <v>42774</v>
      </c>
      <c r="BD2272">
        <v>0</v>
      </c>
      <c r="BN2272" t="s">
        <v>74</v>
      </c>
    </row>
    <row r="2273" spans="1:66">
      <c r="A2273">
        <v>106535</v>
      </c>
      <c r="B2273" t="s">
        <v>486</v>
      </c>
      <c r="C2273" s="1">
        <v>43300101</v>
      </c>
      <c r="D2273" t="s">
        <v>67</v>
      </c>
      <c r="H2273" t="str">
        <f t="shared" si="298"/>
        <v>08862820969</v>
      </c>
      <c r="I2273" t="str">
        <f t="shared" si="298"/>
        <v>08862820969</v>
      </c>
      <c r="K2273" t="str">
        <f>""</f>
        <v/>
      </c>
      <c r="M2273" t="s">
        <v>68</v>
      </c>
      <c r="N2273" t="str">
        <f t="shared" si="296"/>
        <v>FOR</v>
      </c>
      <c r="O2273" t="s">
        <v>69</v>
      </c>
      <c r="P2273" t="s">
        <v>75</v>
      </c>
      <c r="Q2273">
        <v>2016</v>
      </c>
      <c r="R2273" s="4">
        <v>42536</v>
      </c>
      <c r="S2273" s="2">
        <v>42543</v>
      </c>
      <c r="T2273" s="2">
        <v>42536</v>
      </c>
      <c r="U2273" s="4">
        <v>42596</v>
      </c>
      <c r="V2273" t="s">
        <v>71</v>
      </c>
      <c r="W2273" t="str">
        <f>"          2016105734"</f>
        <v xml:space="preserve">          2016105734</v>
      </c>
      <c r="X2273" s="1">
        <v>7280</v>
      </c>
      <c r="Y2273">
        <v>0</v>
      </c>
      <c r="Z2273" s="5">
        <v>7000</v>
      </c>
      <c r="AA2273" s="3">
        <v>201</v>
      </c>
      <c r="AB2273" s="5">
        <v>1407000</v>
      </c>
      <c r="AC2273" s="1">
        <v>7000</v>
      </c>
      <c r="AD2273">
        <v>201</v>
      </c>
      <c r="AE2273" s="1">
        <v>1407000</v>
      </c>
      <c r="AF2273">
        <v>280</v>
      </c>
      <c r="AJ2273">
        <v>0</v>
      </c>
      <c r="AK2273">
        <v>0</v>
      </c>
      <c r="AL2273">
        <v>0</v>
      </c>
      <c r="AM2273">
        <v>0</v>
      </c>
      <c r="AN2273">
        <v>0</v>
      </c>
      <c r="AO2273">
        <v>0</v>
      </c>
      <c r="AP2273" s="2">
        <v>42831</v>
      </c>
      <c r="AQ2273" t="s">
        <v>72</v>
      </c>
      <c r="AR2273" t="s">
        <v>72</v>
      </c>
      <c r="AS2273">
        <v>709</v>
      </c>
      <c r="AT2273" s="4">
        <v>42797</v>
      </c>
      <c r="AU2273" t="s">
        <v>73</v>
      </c>
      <c r="AV2273">
        <v>709</v>
      </c>
      <c r="AW2273" s="4">
        <v>42797</v>
      </c>
      <c r="BD2273">
        <v>280</v>
      </c>
      <c r="BN2273" t="s">
        <v>74</v>
      </c>
    </row>
    <row r="2274" spans="1:66">
      <c r="A2274">
        <v>106535</v>
      </c>
      <c r="B2274" t="s">
        <v>486</v>
      </c>
      <c r="C2274" s="1">
        <v>43300101</v>
      </c>
      <c r="D2274" t="s">
        <v>67</v>
      </c>
      <c r="H2274" t="str">
        <f t="shared" si="298"/>
        <v>08862820969</v>
      </c>
      <c r="I2274" t="str">
        <f t="shared" si="298"/>
        <v>08862820969</v>
      </c>
      <c r="K2274" t="str">
        <f>""</f>
        <v/>
      </c>
      <c r="M2274" t="s">
        <v>68</v>
      </c>
      <c r="N2274" t="str">
        <f t="shared" si="296"/>
        <v>FOR</v>
      </c>
      <c r="O2274" t="s">
        <v>69</v>
      </c>
      <c r="P2274" t="s">
        <v>75</v>
      </c>
      <c r="Q2274">
        <v>2016</v>
      </c>
      <c r="R2274" s="4">
        <v>42536</v>
      </c>
      <c r="S2274" s="2">
        <v>42537</v>
      </c>
      <c r="T2274" s="2">
        <v>42536</v>
      </c>
      <c r="U2274" s="4">
        <v>42596</v>
      </c>
      <c r="V2274" t="s">
        <v>71</v>
      </c>
      <c r="W2274" t="str">
        <f>"          2016105735"</f>
        <v xml:space="preserve">          2016105735</v>
      </c>
      <c r="X2274">
        <v>915</v>
      </c>
      <c r="Y2274">
        <v>0</v>
      </c>
      <c r="Z2274" s="5">
        <v>750</v>
      </c>
      <c r="AA2274" s="3">
        <v>201</v>
      </c>
      <c r="AB2274" s="5">
        <v>150750</v>
      </c>
      <c r="AC2274">
        <v>750</v>
      </c>
      <c r="AD2274">
        <v>201</v>
      </c>
      <c r="AE2274" s="1">
        <v>150750</v>
      </c>
      <c r="AF2274">
        <v>165</v>
      </c>
      <c r="AJ2274">
        <v>0</v>
      </c>
      <c r="AK2274">
        <v>0</v>
      </c>
      <c r="AL2274">
        <v>0</v>
      </c>
      <c r="AM2274">
        <v>0</v>
      </c>
      <c r="AN2274">
        <v>0</v>
      </c>
      <c r="AO2274">
        <v>0</v>
      </c>
      <c r="AP2274" s="2">
        <v>42831</v>
      </c>
      <c r="AQ2274" t="s">
        <v>72</v>
      </c>
      <c r="AR2274" t="s">
        <v>72</v>
      </c>
      <c r="AS2274">
        <v>709</v>
      </c>
      <c r="AT2274" s="4">
        <v>42797</v>
      </c>
      <c r="AU2274" t="s">
        <v>73</v>
      </c>
      <c r="AV2274">
        <v>709</v>
      </c>
      <c r="AW2274" s="4">
        <v>42797</v>
      </c>
      <c r="BD2274">
        <v>165</v>
      </c>
      <c r="BN2274" t="s">
        <v>74</v>
      </c>
    </row>
    <row r="2275" spans="1:66">
      <c r="A2275">
        <v>106535</v>
      </c>
      <c r="B2275" t="s">
        <v>486</v>
      </c>
      <c r="C2275" s="1">
        <v>43300101</v>
      </c>
      <c r="D2275" t="s">
        <v>67</v>
      </c>
      <c r="H2275" t="str">
        <f t="shared" si="298"/>
        <v>08862820969</v>
      </c>
      <c r="I2275" t="str">
        <f t="shared" si="298"/>
        <v>08862820969</v>
      </c>
      <c r="K2275" t="str">
        <f>""</f>
        <v/>
      </c>
      <c r="M2275" t="s">
        <v>68</v>
      </c>
      <c r="N2275" t="str">
        <f t="shared" si="296"/>
        <v>FOR</v>
      </c>
      <c r="O2275" t="s">
        <v>69</v>
      </c>
      <c r="P2275" t="s">
        <v>75</v>
      </c>
      <c r="Q2275">
        <v>2016</v>
      </c>
      <c r="R2275" s="4">
        <v>42536</v>
      </c>
      <c r="S2275" s="2">
        <v>42537</v>
      </c>
      <c r="T2275" s="2">
        <v>42536</v>
      </c>
      <c r="U2275" s="4">
        <v>42596</v>
      </c>
      <c r="V2275" t="s">
        <v>71</v>
      </c>
      <c r="W2275" t="str">
        <f>"          2016105736"</f>
        <v xml:space="preserve">          2016105736</v>
      </c>
      <c r="X2275">
        <v>976</v>
      </c>
      <c r="Y2275">
        <v>0</v>
      </c>
      <c r="Z2275" s="5">
        <v>800</v>
      </c>
      <c r="AA2275" s="3">
        <v>201</v>
      </c>
      <c r="AB2275" s="5">
        <v>160800</v>
      </c>
      <c r="AC2275">
        <v>800</v>
      </c>
      <c r="AD2275">
        <v>201</v>
      </c>
      <c r="AE2275" s="1">
        <v>160800</v>
      </c>
      <c r="AF2275">
        <v>176</v>
      </c>
      <c r="AJ2275">
        <v>0</v>
      </c>
      <c r="AK2275">
        <v>0</v>
      </c>
      <c r="AL2275">
        <v>0</v>
      </c>
      <c r="AM2275">
        <v>0</v>
      </c>
      <c r="AN2275">
        <v>0</v>
      </c>
      <c r="AO2275">
        <v>0</v>
      </c>
      <c r="AP2275" s="2">
        <v>42831</v>
      </c>
      <c r="AQ2275" t="s">
        <v>72</v>
      </c>
      <c r="AR2275" t="s">
        <v>72</v>
      </c>
      <c r="AS2275">
        <v>709</v>
      </c>
      <c r="AT2275" s="4">
        <v>42797</v>
      </c>
      <c r="AU2275" t="s">
        <v>73</v>
      </c>
      <c r="AV2275">
        <v>709</v>
      </c>
      <c r="AW2275" s="4">
        <v>42797</v>
      </c>
      <c r="BD2275">
        <v>176</v>
      </c>
      <c r="BN2275" t="s">
        <v>74</v>
      </c>
    </row>
    <row r="2276" spans="1:66">
      <c r="A2276">
        <v>106535</v>
      </c>
      <c r="B2276" t="s">
        <v>486</v>
      </c>
      <c r="C2276" s="1">
        <v>43300101</v>
      </c>
      <c r="D2276" t="s">
        <v>67</v>
      </c>
      <c r="H2276" t="str">
        <f t="shared" si="298"/>
        <v>08862820969</v>
      </c>
      <c r="I2276" t="str">
        <f t="shared" si="298"/>
        <v>08862820969</v>
      </c>
      <c r="K2276" t="str">
        <f>""</f>
        <v/>
      </c>
      <c r="M2276" t="s">
        <v>68</v>
      </c>
      <c r="N2276" t="str">
        <f t="shared" si="296"/>
        <v>FOR</v>
      </c>
      <c r="O2276" t="s">
        <v>69</v>
      </c>
      <c r="P2276" t="s">
        <v>75</v>
      </c>
      <c r="Q2276">
        <v>2016</v>
      </c>
      <c r="R2276" s="4">
        <v>42545</v>
      </c>
      <c r="S2276" s="2">
        <v>42550</v>
      </c>
      <c r="T2276" s="2">
        <v>42545</v>
      </c>
      <c r="U2276" s="4">
        <v>42605</v>
      </c>
      <c r="V2276" t="s">
        <v>71</v>
      </c>
      <c r="W2276" t="str">
        <f>"          2016106080"</f>
        <v xml:space="preserve">          2016106080</v>
      </c>
      <c r="X2276" s="1">
        <v>11440</v>
      </c>
      <c r="Y2276">
        <v>0</v>
      </c>
      <c r="Z2276" s="5">
        <v>11000</v>
      </c>
      <c r="AA2276" s="3">
        <v>192</v>
      </c>
      <c r="AB2276" s="5">
        <v>2112000</v>
      </c>
      <c r="AC2276" s="1">
        <v>11000</v>
      </c>
      <c r="AD2276">
        <v>192</v>
      </c>
      <c r="AE2276" s="1">
        <v>2112000</v>
      </c>
      <c r="AF2276">
        <v>440</v>
      </c>
      <c r="AJ2276">
        <v>0</v>
      </c>
      <c r="AK2276">
        <v>0</v>
      </c>
      <c r="AL2276">
        <v>0</v>
      </c>
      <c r="AM2276">
        <v>0</v>
      </c>
      <c r="AN2276">
        <v>0</v>
      </c>
      <c r="AO2276">
        <v>0</v>
      </c>
      <c r="AP2276" s="2">
        <v>42831</v>
      </c>
      <c r="AQ2276" t="s">
        <v>72</v>
      </c>
      <c r="AR2276" t="s">
        <v>72</v>
      </c>
      <c r="AS2276">
        <v>709</v>
      </c>
      <c r="AT2276" s="4">
        <v>42797</v>
      </c>
      <c r="AU2276" t="s">
        <v>73</v>
      </c>
      <c r="AV2276">
        <v>709</v>
      </c>
      <c r="AW2276" s="4">
        <v>42797</v>
      </c>
      <c r="BD2276">
        <v>440</v>
      </c>
      <c r="BN2276" t="s">
        <v>74</v>
      </c>
    </row>
    <row r="2277" spans="1:66">
      <c r="A2277">
        <v>106535</v>
      </c>
      <c r="B2277" t="s">
        <v>486</v>
      </c>
      <c r="C2277" s="1">
        <v>43300101</v>
      </c>
      <c r="D2277" t="s">
        <v>67</v>
      </c>
      <c r="H2277" t="str">
        <f t="shared" si="298"/>
        <v>08862820969</v>
      </c>
      <c r="I2277" t="str">
        <f t="shared" si="298"/>
        <v>08862820969</v>
      </c>
      <c r="K2277" t="str">
        <f>""</f>
        <v/>
      </c>
      <c r="M2277" t="s">
        <v>68</v>
      </c>
      <c r="N2277" t="str">
        <f t="shared" si="296"/>
        <v>FOR</v>
      </c>
      <c r="O2277" t="s">
        <v>69</v>
      </c>
      <c r="P2277" t="s">
        <v>75</v>
      </c>
      <c r="Q2277">
        <v>2016</v>
      </c>
      <c r="R2277" s="4">
        <v>42545</v>
      </c>
      <c r="S2277" s="2">
        <v>42550</v>
      </c>
      <c r="T2277" s="2">
        <v>42545</v>
      </c>
      <c r="U2277" s="4">
        <v>42605</v>
      </c>
      <c r="V2277" t="s">
        <v>71</v>
      </c>
      <c r="W2277" t="str">
        <f>"          2016106081"</f>
        <v xml:space="preserve">          2016106081</v>
      </c>
      <c r="X2277">
        <v>976</v>
      </c>
      <c r="Y2277">
        <v>0</v>
      </c>
      <c r="Z2277" s="5">
        <v>800</v>
      </c>
      <c r="AA2277" s="3">
        <v>192</v>
      </c>
      <c r="AB2277" s="5">
        <v>153600</v>
      </c>
      <c r="AC2277">
        <v>800</v>
      </c>
      <c r="AD2277">
        <v>192</v>
      </c>
      <c r="AE2277" s="1">
        <v>153600</v>
      </c>
      <c r="AF2277">
        <v>176</v>
      </c>
      <c r="AJ2277">
        <v>0</v>
      </c>
      <c r="AK2277">
        <v>0</v>
      </c>
      <c r="AL2277">
        <v>0</v>
      </c>
      <c r="AM2277">
        <v>0</v>
      </c>
      <c r="AN2277">
        <v>0</v>
      </c>
      <c r="AO2277">
        <v>0</v>
      </c>
      <c r="AP2277" s="2">
        <v>42831</v>
      </c>
      <c r="AQ2277" t="s">
        <v>72</v>
      </c>
      <c r="AR2277" t="s">
        <v>72</v>
      </c>
      <c r="AS2277">
        <v>709</v>
      </c>
      <c r="AT2277" s="4">
        <v>42797</v>
      </c>
      <c r="AU2277" t="s">
        <v>73</v>
      </c>
      <c r="AV2277">
        <v>709</v>
      </c>
      <c r="AW2277" s="4">
        <v>42797</v>
      </c>
      <c r="BD2277">
        <v>176</v>
      </c>
      <c r="BN2277" t="s">
        <v>74</v>
      </c>
    </row>
    <row r="2278" spans="1:66">
      <c r="A2278">
        <v>106535</v>
      </c>
      <c r="B2278" t="s">
        <v>486</v>
      </c>
      <c r="C2278" s="1">
        <v>43300101</v>
      </c>
      <c r="D2278" t="s">
        <v>67</v>
      </c>
      <c r="H2278" t="str">
        <f t="shared" si="298"/>
        <v>08862820969</v>
      </c>
      <c r="I2278" t="str">
        <f t="shared" si="298"/>
        <v>08862820969</v>
      </c>
      <c r="K2278" t="str">
        <f>""</f>
        <v/>
      </c>
      <c r="M2278" t="s">
        <v>68</v>
      </c>
      <c r="N2278" t="str">
        <f t="shared" si="296"/>
        <v>FOR</v>
      </c>
      <c r="O2278" t="s">
        <v>69</v>
      </c>
      <c r="P2278" t="s">
        <v>75</v>
      </c>
      <c r="Q2278">
        <v>2016</v>
      </c>
      <c r="R2278" s="4">
        <v>42545</v>
      </c>
      <c r="S2278" s="2">
        <v>42550</v>
      </c>
      <c r="T2278" s="2">
        <v>42545</v>
      </c>
      <c r="U2278" s="4">
        <v>42605</v>
      </c>
      <c r="V2278" t="s">
        <v>71</v>
      </c>
      <c r="W2278" t="str">
        <f>"          2016106082"</f>
        <v xml:space="preserve">          2016106082</v>
      </c>
      <c r="X2278" s="1">
        <v>3111</v>
      </c>
      <c r="Y2278">
        <v>0</v>
      </c>
      <c r="Z2278" s="5">
        <v>2550</v>
      </c>
      <c r="AA2278" s="3">
        <v>192</v>
      </c>
      <c r="AB2278" s="5">
        <v>489600</v>
      </c>
      <c r="AC2278" s="1">
        <v>2550</v>
      </c>
      <c r="AD2278">
        <v>192</v>
      </c>
      <c r="AE2278" s="1">
        <v>489600</v>
      </c>
      <c r="AF2278">
        <v>561</v>
      </c>
      <c r="AJ2278">
        <v>0</v>
      </c>
      <c r="AK2278">
        <v>0</v>
      </c>
      <c r="AL2278">
        <v>0</v>
      </c>
      <c r="AM2278">
        <v>0</v>
      </c>
      <c r="AN2278">
        <v>0</v>
      </c>
      <c r="AO2278">
        <v>0</v>
      </c>
      <c r="AP2278" s="2">
        <v>42831</v>
      </c>
      <c r="AQ2278" t="s">
        <v>72</v>
      </c>
      <c r="AR2278" t="s">
        <v>72</v>
      </c>
      <c r="AS2278">
        <v>709</v>
      </c>
      <c r="AT2278" s="4">
        <v>42797</v>
      </c>
      <c r="AU2278" t="s">
        <v>73</v>
      </c>
      <c r="AV2278">
        <v>709</v>
      </c>
      <c r="AW2278" s="4">
        <v>42797</v>
      </c>
      <c r="BD2278">
        <v>561</v>
      </c>
      <c r="BN2278" t="s">
        <v>74</v>
      </c>
    </row>
    <row r="2279" spans="1:66">
      <c r="A2279">
        <v>106535</v>
      </c>
      <c r="B2279" t="s">
        <v>486</v>
      </c>
      <c r="C2279" s="1">
        <v>43300101</v>
      </c>
      <c r="D2279" t="s">
        <v>67</v>
      </c>
      <c r="H2279" t="str">
        <f t="shared" si="298"/>
        <v>08862820969</v>
      </c>
      <c r="I2279" t="str">
        <f t="shared" si="298"/>
        <v>08862820969</v>
      </c>
      <c r="K2279" t="str">
        <f>""</f>
        <v/>
      </c>
      <c r="M2279" t="s">
        <v>68</v>
      </c>
      <c r="N2279" t="str">
        <f t="shared" si="296"/>
        <v>FOR</v>
      </c>
      <c r="O2279" t="s">
        <v>69</v>
      </c>
      <c r="P2279" t="s">
        <v>75</v>
      </c>
      <c r="Q2279">
        <v>2016</v>
      </c>
      <c r="R2279" s="4">
        <v>42558</v>
      </c>
      <c r="S2279" s="2">
        <v>42563</v>
      </c>
      <c r="T2279" s="2">
        <v>42558</v>
      </c>
      <c r="U2279" s="4">
        <v>42618</v>
      </c>
      <c r="V2279" t="s">
        <v>71</v>
      </c>
      <c r="W2279" t="str">
        <f>"          2016106560"</f>
        <v xml:space="preserve">          2016106560</v>
      </c>
      <c r="X2279" s="1">
        <v>1508</v>
      </c>
      <c r="Y2279">
        <v>0</v>
      </c>
      <c r="Z2279" s="5">
        <v>1450</v>
      </c>
      <c r="AA2279" s="3">
        <v>179</v>
      </c>
      <c r="AB2279" s="5">
        <v>259550</v>
      </c>
      <c r="AC2279" s="1">
        <v>1450</v>
      </c>
      <c r="AD2279">
        <v>179</v>
      </c>
      <c r="AE2279" s="1">
        <v>259550</v>
      </c>
      <c r="AF2279">
        <v>58</v>
      </c>
      <c r="AJ2279">
        <v>0</v>
      </c>
      <c r="AK2279">
        <v>0</v>
      </c>
      <c r="AL2279">
        <v>0</v>
      </c>
      <c r="AM2279">
        <v>0</v>
      </c>
      <c r="AN2279">
        <v>0</v>
      </c>
      <c r="AO2279">
        <v>0</v>
      </c>
      <c r="AP2279" s="2">
        <v>42831</v>
      </c>
      <c r="AQ2279" t="s">
        <v>72</v>
      </c>
      <c r="AR2279" t="s">
        <v>72</v>
      </c>
      <c r="AS2279">
        <v>709</v>
      </c>
      <c r="AT2279" s="4">
        <v>42797</v>
      </c>
      <c r="AU2279" t="s">
        <v>73</v>
      </c>
      <c r="AV2279">
        <v>709</v>
      </c>
      <c r="AW2279" s="4">
        <v>42797</v>
      </c>
      <c r="BD2279">
        <v>58</v>
      </c>
      <c r="BN2279" t="s">
        <v>74</v>
      </c>
    </row>
    <row r="2280" spans="1:66">
      <c r="A2280">
        <v>106535</v>
      </c>
      <c r="B2280" t="s">
        <v>486</v>
      </c>
      <c r="C2280" s="1">
        <v>43300101</v>
      </c>
      <c r="D2280" t="s">
        <v>67</v>
      </c>
      <c r="H2280" t="str">
        <f t="shared" si="298"/>
        <v>08862820969</v>
      </c>
      <c r="I2280" t="str">
        <f t="shared" si="298"/>
        <v>08862820969</v>
      </c>
      <c r="K2280" t="str">
        <f>""</f>
        <v/>
      </c>
      <c r="M2280" t="s">
        <v>68</v>
      </c>
      <c r="N2280" t="str">
        <f t="shared" si="296"/>
        <v>FOR</v>
      </c>
      <c r="O2280" t="s">
        <v>69</v>
      </c>
      <c r="P2280" t="s">
        <v>75</v>
      </c>
      <c r="Q2280">
        <v>2016</v>
      </c>
      <c r="R2280" s="4">
        <v>42558</v>
      </c>
      <c r="S2280" s="2">
        <v>42563</v>
      </c>
      <c r="T2280" s="2">
        <v>42558</v>
      </c>
      <c r="U2280" s="4">
        <v>42618</v>
      </c>
      <c r="V2280" t="s">
        <v>71</v>
      </c>
      <c r="W2280" t="str">
        <f>"          2016106561"</f>
        <v xml:space="preserve">          2016106561</v>
      </c>
      <c r="X2280" s="1">
        <v>1508</v>
      </c>
      <c r="Y2280">
        <v>0</v>
      </c>
      <c r="Z2280" s="5">
        <v>1450</v>
      </c>
      <c r="AA2280" s="3">
        <v>179</v>
      </c>
      <c r="AB2280" s="5">
        <v>259550</v>
      </c>
      <c r="AC2280" s="1">
        <v>1450</v>
      </c>
      <c r="AD2280">
        <v>179</v>
      </c>
      <c r="AE2280" s="1">
        <v>259550</v>
      </c>
      <c r="AF2280">
        <v>58</v>
      </c>
      <c r="AJ2280">
        <v>0</v>
      </c>
      <c r="AK2280">
        <v>0</v>
      </c>
      <c r="AL2280">
        <v>0</v>
      </c>
      <c r="AM2280">
        <v>0</v>
      </c>
      <c r="AN2280">
        <v>0</v>
      </c>
      <c r="AO2280">
        <v>0</v>
      </c>
      <c r="AP2280" s="2">
        <v>42831</v>
      </c>
      <c r="AQ2280" t="s">
        <v>72</v>
      </c>
      <c r="AR2280" t="s">
        <v>72</v>
      </c>
      <c r="AS2280">
        <v>709</v>
      </c>
      <c r="AT2280" s="4">
        <v>42797</v>
      </c>
      <c r="AU2280" t="s">
        <v>73</v>
      </c>
      <c r="AV2280">
        <v>709</v>
      </c>
      <c r="AW2280" s="4">
        <v>42797</v>
      </c>
      <c r="BD2280">
        <v>58</v>
      </c>
      <c r="BN2280" t="s">
        <v>74</v>
      </c>
    </row>
    <row r="2281" spans="1:66">
      <c r="A2281">
        <v>106535</v>
      </c>
      <c r="B2281" t="s">
        <v>486</v>
      </c>
      <c r="C2281" s="1">
        <v>43300101</v>
      </c>
      <c r="D2281" t="s">
        <v>67</v>
      </c>
      <c r="H2281" t="str">
        <f t="shared" si="298"/>
        <v>08862820969</v>
      </c>
      <c r="I2281" t="str">
        <f t="shared" si="298"/>
        <v>08862820969</v>
      </c>
      <c r="K2281" t="str">
        <f>""</f>
        <v/>
      </c>
      <c r="M2281" t="s">
        <v>68</v>
      </c>
      <c r="N2281" t="str">
        <f t="shared" si="296"/>
        <v>FOR</v>
      </c>
      <c r="O2281" t="s">
        <v>69</v>
      </c>
      <c r="P2281" t="s">
        <v>75</v>
      </c>
      <c r="Q2281">
        <v>2016</v>
      </c>
      <c r="R2281" s="4">
        <v>42571</v>
      </c>
      <c r="S2281" s="2">
        <v>42571</v>
      </c>
      <c r="T2281" s="2">
        <v>42571</v>
      </c>
      <c r="U2281" s="4">
        <v>42631</v>
      </c>
      <c r="V2281" t="s">
        <v>71</v>
      </c>
      <c r="W2281" t="str">
        <f>"          2016107018"</f>
        <v xml:space="preserve">          2016107018</v>
      </c>
      <c r="X2281" s="1">
        <v>1508</v>
      </c>
      <c r="Y2281">
        <v>0</v>
      </c>
      <c r="Z2281" s="5">
        <v>1450</v>
      </c>
      <c r="AA2281" s="3">
        <v>166</v>
      </c>
      <c r="AB2281" s="5">
        <v>240700</v>
      </c>
      <c r="AC2281" s="1">
        <v>1450</v>
      </c>
      <c r="AD2281">
        <v>166</v>
      </c>
      <c r="AE2281" s="1">
        <v>240700</v>
      </c>
      <c r="AF2281">
        <v>58</v>
      </c>
      <c r="AJ2281">
        <v>0</v>
      </c>
      <c r="AK2281">
        <v>0</v>
      </c>
      <c r="AL2281">
        <v>0</v>
      </c>
      <c r="AM2281">
        <v>0</v>
      </c>
      <c r="AN2281">
        <v>0</v>
      </c>
      <c r="AO2281">
        <v>0</v>
      </c>
      <c r="AP2281" s="2">
        <v>42831</v>
      </c>
      <c r="AQ2281" t="s">
        <v>72</v>
      </c>
      <c r="AR2281" t="s">
        <v>72</v>
      </c>
      <c r="AS2281">
        <v>709</v>
      </c>
      <c r="AT2281" s="4">
        <v>42797</v>
      </c>
      <c r="AU2281" t="s">
        <v>73</v>
      </c>
      <c r="AV2281">
        <v>709</v>
      </c>
      <c r="AW2281" s="4">
        <v>42797</v>
      </c>
      <c r="BD2281">
        <v>58</v>
      </c>
      <c r="BN2281" t="s">
        <v>74</v>
      </c>
    </row>
    <row r="2282" spans="1:66">
      <c r="A2282">
        <v>106535</v>
      </c>
      <c r="B2282" t="s">
        <v>486</v>
      </c>
      <c r="C2282" s="1">
        <v>43300101</v>
      </c>
      <c r="D2282" t="s">
        <v>67</v>
      </c>
      <c r="H2282" t="str">
        <f t="shared" si="298"/>
        <v>08862820969</v>
      </c>
      <c r="I2282" t="str">
        <f t="shared" si="298"/>
        <v>08862820969</v>
      </c>
      <c r="K2282" t="str">
        <f>""</f>
        <v/>
      </c>
      <c r="M2282" t="s">
        <v>68</v>
      </c>
      <c r="N2282" t="str">
        <f t="shared" si="296"/>
        <v>FOR</v>
      </c>
      <c r="O2282" t="s">
        <v>69</v>
      </c>
      <c r="P2282" t="s">
        <v>75</v>
      </c>
      <c r="Q2282">
        <v>2016</v>
      </c>
      <c r="R2282" s="4">
        <v>42571</v>
      </c>
      <c r="S2282" s="2">
        <v>42571</v>
      </c>
      <c r="T2282" s="2">
        <v>42571</v>
      </c>
      <c r="U2282" s="4">
        <v>42631</v>
      </c>
      <c r="V2282" t="s">
        <v>71</v>
      </c>
      <c r="W2282" t="str">
        <f>"          2016107019"</f>
        <v xml:space="preserve">          2016107019</v>
      </c>
      <c r="X2282" s="1">
        <v>1372.8</v>
      </c>
      <c r="Y2282">
        <v>0</v>
      </c>
      <c r="Z2282" s="5">
        <v>1320</v>
      </c>
      <c r="AA2282" s="3">
        <v>166</v>
      </c>
      <c r="AB2282" s="5">
        <v>219120</v>
      </c>
      <c r="AC2282" s="1">
        <v>1320</v>
      </c>
      <c r="AD2282">
        <v>166</v>
      </c>
      <c r="AE2282" s="1">
        <v>219120</v>
      </c>
      <c r="AF2282">
        <v>52.8</v>
      </c>
      <c r="AJ2282">
        <v>0</v>
      </c>
      <c r="AK2282">
        <v>0</v>
      </c>
      <c r="AL2282">
        <v>0</v>
      </c>
      <c r="AM2282">
        <v>0</v>
      </c>
      <c r="AN2282">
        <v>0</v>
      </c>
      <c r="AO2282">
        <v>0</v>
      </c>
      <c r="AP2282" s="2">
        <v>42831</v>
      </c>
      <c r="AQ2282" t="s">
        <v>72</v>
      </c>
      <c r="AR2282" t="s">
        <v>72</v>
      </c>
      <c r="AS2282">
        <v>709</v>
      </c>
      <c r="AT2282" s="4">
        <v>42797</v>
      </c>
      <c r="AU2282" t="s">
        <v>73</v>
      </c>
      <c r="AV2282">
        <v>709</v>
      </c>
      <c r="AW2282" s="4">
        <v>42797</v>
      </c>
      <c r="BD2282">
        <v>52.8</v>
      </c>
      <c r="BN2282" t="s">
        <v>74</v>
      </c>
    </row>
    <row r="2283" spans="1:66">
      <c r="A2283">
        <v>106535</v>
      </c>
      <c r="B2283" t="s">
        <v>486</v>
      </c>
      <c r="C2283" s="1">
        <v>43300101</v>
      </c>
      <c r="D2283" t="s">
        <v>67</v>
      </c>
      <c r="H2283" t="str">
        <f t="shared" si="298"/>
        <v>08862820969</v>
      </c>
      <c r="I2283" t="str">
        <f t="shared" si="298"/>
        <v>08862820969</v>
      </c>
      <c r="K2283" t="str">
        <f>""</f>
        <v/>
      </c>
      <c r="M2283" t="s">
        <v>68</v>
      </c>
      <c r="N2283" t="str">
        <f t="shared" si="296"/>
        <v>FOR</v>
      </c>
      <c r="O2283" t="s">
        <v>69</v>
      </c>
      <c r="P2283" t="s">
        <v>75</v>
      </c>
      <c r="Q2283">
        <v>2016</v>
      </c>
      <c r="R2283" s="4">
        <v>42571</v>
      </c>
      <c r="S2283" s="2">
        <v>42571</v>
      </c>
      <c r="T2283" s="2">
        <v>42571</v>
      </c>
      <c r="U2283" s="4">
        <v>42631</v>
      </c>
      <c r="V2283" t="s">
        <v>71</v>
      </c>
      <c r="W2283" t="str">
        <f>"          2016107020"</f>
        <v xml:space="preserve">          2016107020</v>
      </c>
      <c r="X2283" s="1">
        <v>1144</v>
      </c>
      <c r="Y2283">
        <v>0</v>
      </c>
      <c r="Z2283" s="5">
        <v>1100</v>
      </c>
      <c r="AA2283" s="3">
        <v>166</v>
      </c>
      <c r="AB2283" s="5">
        <v>182600</v>
      </c>
      <c r="AC2283" s="1">
        <v>1100</v>
      </c>
      <c r="AD2283">
        <v>166</v>
      </c>
      <c r="AE2283" s="1">
        <v>182600</v>
      </c>
      <c r="AF2283">
        <v>44</v>
      </c>
      <c r="AJ2283">
        <v>0</v>
      </c>
      <c r="AK2283">
        <v>0</v>
      </c>
      <c r="AL2283">
        <v>0</v>
      </c>
      <c r="AM2283">
        <v>0</v>
      </c>
      <c r="AN2283">
        <v>0</v>
      </c>
      <c r="AO2283">
        <v>0</v>
      </c>
      <c r="AP2283" s="2">
        <v>42831</v>
      </c>
      <c r="AQ2283" t="s">
        <v>72</v>
      </c>
      <c r="AR2283" t="s">
        <v>72</v>
      </c>
      <c r="AS2283">
        <v>709</v>
      </c>
      <c r="AT2283" s="4">
        <v>42797</v>
      </c>
      <c r="AU2283" t="s">
        <v>73</v>
      </c>
      <c r="AV2283">
        <v>709</v>
      </c>
      <c r="AW2283" s="4">
        <v>42797</v>
      </c>
      <c r="BD2283">
        <v>44</v>
      </c>
      <c r="BN2283" t="s">
        <v>74</v>
      </c>
    </row>
    <row r="2284" spans="1:66">
      <c r="A2284">
        <v>106535</v>
      </c>
      <c r="B2284" t="s">
        <v>486</v>
      </c>
      <c r="C2284" s="1">
        <v>43300101</v>
      </c>
      <c r="D2284" t="s">
        <v>67</v>
      </c>
      <c r="H2284" t="str">
        <f t="shared" si="298"/>
        <v>08862820969</v>
      </c>
      <c r="I2284" t="str">
        <f t="shared" si="298"/>
        <v>08862820969</v>
      </c>
      <c r="K2284" t="str">
        <f>""</f>
        <v/>
      </c>
      <c r="M2284" t="s">
        <v>68</v>
      </c>
      <c r="N2284" t="str">
        <f t="shared" si="296"/>
        <v>FOR</v>
      </c>
      <c r="O2284" t="s">
        <v>69</v>
      </c>
      <c r="P2284" t="s">
        <v>75</v>
      </c>
      <c r="Q2284">
        <v>2016</v>
      </c>
      <c r="R2284" s="4">
        <v>42571</v>
      </c>
      <c r="S2284" s="2">
        <v>42571</v>
      </c>
      <c r="T2284" s="2">
        <v>42571</v>
      </c>
      <c r="U2284" s="4">
        <v>42631</v>
      </c>
      <c r="V2284" t="s">
        <v>71</v>
      </c>
      <c r="W2284" t="str">
        <f>"          2016107021"</f>
        <v xml:space="preserve">          2016107021</v>
      </c>
      <c r="X2284" s="1">
        <v>1508</v>
      </c>
      <c r="Y2284">
        <v>0</v>
      </c>
      <c r="Z2284" s="5">
        <v>1450</v>
      </c>
      <c r="AA2284" s="3">
        <v>166</v>
      </c>
      <c r="AB2284" s="5">
        <v>240700</v>
      </c>
      <c r="AC2284" s="1">
        <v>1450</v>
      </c>
      <c r="AD2284">
        <v>166</v>
      </c>
      <c r="AE2284" s="1">
        <v>240700</v>
      </c>
      <c r="AF2284">
        <v>58</v>
      </c>
      <c r="AJ2284">
        <v>0</v>
      </c>
      <c r="AK2284">
        <v>0</v>
      </c>
      <c r="AL2284">
        <v>0</v>
      </c>
      <c r="AM2284">
        <v>0</v>
      </c>
      <c r="AN2284">
        <v>0</v>
      </c>
      <c r="AO2284">
        <v>0</v>
      </c>
      <c r="AP2284" s="2">
        <v>42831</v>
      </c>
      <c r="AQ2284" t="s">
        <v>72</v>
      </c>
      <c r="AR2284" t="s">
        <v>72</v>
      </c>
      <c r="AS2284">
        <v>709</v>
      </c>
      <c r="AT2284" s="4">
        <v>42797</v>
      </c>
      <c r="AU2284" t="s">
        <v>73</v>
      </c>
      <c r="AV2284">
        <v>709</v>
      </c>
      <c r="AW2284" s="4">
        <v>42797</v>
      </c>
      <c r="BD2284">
        <v>58</v>
      </c>
      <c r="BN2284" t="s">
        <v>74</v>
      </c>
    </row>
    <row r="2285" spans="1:66">
      <c r="A2285">
        <v>106535</v>
      </c>
      <c r="B2285" t="s">
        <v>486</v>
      </c>
      <c r="C2285" s="1">
        <v>43300101</v>
      </c>
      <c r="D2285" t="s">
        <v>67</v>
      </c>
      <c r="H2285" t="str">
        <f t="shared" si="298"/>
        <v>08862820969</v>
      </c>
      <c r="I2285" t="str">
        <f t="shared" si="298"/>
        <v>08862820969</v>
      </c>
      <c r="K2285" t="str">
        <f>""</f>
        <v/>
      </c>
      <c r="M2285" t="s">
        <v>68</v>
      </c>
      <c r="N2285" t="str">
        <f t="shared" si="296"/>
        <v>FOR</v>
      </c>
      <c r="O2285" t="s">
        <v>69</v>
      </c>
      <c r="P2285" t="s">
        <v>75</v>
      </c>
      <c r="Q2285">
        <v>2016</v>
      </c>
      <c r="R2285" s="4">
        <v>42571</v>
      </c>
      <c r="S2285" s="2">
        <v>42571</v>
      </c>
      <c r="T2285" s="2">
        <v>42571</v>
      </c>
      <c r="U2285" s="4">
        <v>42631</v>
      </c>
      <c r="V2285" t="s">
        <v>71</v>
      </c>
      <c r="W2285" t="str">
        <f>"          2016107022"</f>
        <v xml:space="preserve">          2016107022</v>
      </c>
      <c r="X2285" s="1">
        <v>1508</v>
      </c>
      <c r="Y2285">
        <v>0</v>
      </c>
      <c r="Z2285" s="5">
        <v>1450</v>
      </c>
      <c r="AA2285" s="3">
        <v>166</v>
      </c>
      <c r="AB2285" s="5">
        <v>240700</v>
      </c>
      <c r="AC2285" s="1">
        <v>1450</v>
      </c>
      <c r="AD2285">
        <v>166</v>
      </c>
      <c r="AE2285" s="1">
        <v>240700</v>
      </c>
      <c r="AF2285">
        <v>58</v>
      </c>
      <c r="AJ2285">
        <v>0</v>
      </c>
      <c r="AK2285">
        <v>0</v>
      </c>
      <c r="AL2285">
        <v>0</v>
      </c>
      <c r="AM2285">
        <v>0</v>
      </c>
      <c r="AN2285">
        <v>0</v>
      </c>
      <c r="AO2285">
        <v>0</v>
      </c>
      <c r="AP2285" s="2">
        <v>42831</v>
      </c>
      <c r="AQ2285" t="s">
        <v>72</v>
      </c>
      <c r="AR2285" t="s">
        <v>72</v>
      </c>
      <c r="AS2285">
        <v>709</v>
      </c>
      <c r="AT2285" s="4">
        <v>42797</v>
      </c>
      <c r="AU2285" t="s">
        <v>73</v>
      </c>
      <c r="AV2285">
        <v>709</v>
      </c>
      <c r="AW2285" s="4">
        <v>42797</v>
      </c>
      <c r="BD2285">
        <v>58</v>
      </c>
      <c r="BN2285" t="s">
        <v>74</v>
      </c>
    </row>
    <row r="2286" spans="1:66">
      <c r="A2286">
        <v>106535</v>
      </c>
      <c r="B2286" t="s">
        <v>486</v>
      </c>
      <c r="C2286" s="1">
        <v>43300101</v>
      </c>
      <c r="D2286" t="s">
        <v>67</v>
      </c>
      <c r="H2286" t="str">
        <f t="shared" si="298"/>
        <v>08862820969</v>
      </c>
      <c r="I2286" t="str">
        <f t="shared" si="298"/>
        <v>08862820969</v>
      </c>
      <c r="K2286" t="str">
        <f>""</f>
        <v/>
      </c>
      <c r="M2286" t="s">
        <v>68</v>
      </c>
      <c r="N2286" t="str">
        <f t="shared" si="296"/>
        <v>FOR</v>
      </c>
      <c r="O2286" t="s">
        <v>69</v>
      </c>
      <c r="P2286" t="s">
        <v>75</v>
      </c>
      <c r="Q2286">
        <v>2016</v>
      </c>
      <c r="R2286" s="4">
        <v>42571</v>
      </c>
      <c r="S2286" s="2">
        <v>42571</v>
      </c>
      <c r="T2286" s="2">
        <v>42571</v>
      </c>
      <c r="U2286" s="4">
        <v>42631</v>
      </c>
      <c r="V2286" t="s">
        <v>71</v>
      </c>
      <c r="W2286" t="str">
        <f>"          2016107023"</f>
        <v xml:space="preserve">          2016107023</v>
      </c>
      <c r="X2286" s="1">
        <v>1508</v>
      </c>
      <c r="Y2286">
        <v>0</v>
      </c>
      <c r="Z2286" s="5">
        <v>1450</v>
      </c>
      <c r="AA2286" s="3">
        <v>166</v>
      </c>
      <c r="AB2286" s="5">
        <v>240700</v>
      </c>
      <c r="AC2286" s="1">
        <v>1450</v>
      </c>
      <c r="AD2286">
        <v>166</v>
      </c>
      <c r="AE2286" s="1">
        <v>240700</v>
      </c>
      <c r="AF2286">
        <v>58</v>
      </c>
      <c r="AJ2286">
        <v>0</v>
      </c>
      <c r="AK2286">
        <v>0</v>
      </c>
      <c r="AL2286">
        <v>0</v>
      </c>
      <c r="AM2286">
        <v>0</v>
      </c>
      <c r="AN2286">
        <v>0</v>
      </c>
      <c r="AO2286">
        <v>0</v>
      </c>
      <c r="AP2286" s="2">
        <v>42831</v>
      </c>
      <c r="AQ2286" t="s">
        <v>72</v>
      </c>
      <c r="AR2286" t="s">
        <v>72</v>
      </c>
      <c r="AS2286">
        <v>709</v>
      </c>
      <c r="AT2286" s="4">
        <v>42797</v>
      </c>
      <c r="AU2286" t="s">
        <v>73</v>
      </c>
      <c r="AV2286">
        <v>709</v>
      </c>
      <c r="AW2286" s="4">
        <v>42797</v>
      </c>
      <c r="BD2286">
        <v>58</v>
      </c>
      <c r="BN2286" t="s">
        <v>74</v>
      </c>
    </row>
    <row r="2287" spans="1:66">
      <c r="A2287">
        <v>106535</v>
      </c>
      <c r="B2287" t="s">
        <v>486</v>
      </c>
      <c r="C2287" s="1">
        <v>43300101</v>
      </c>
      <c r="D2287" t="s">
        <v>67</v>
      </c>
      <c r="H2287" t="str">
        <f t="shared" ref="H2287:I2306" si="299">"08862820969"</f>
        <v>08862820969</v>
      </c>
      <c r="I2287" t="str">
        <f t="shared" si="299"/>
        <v>08862820969</v>
      </c>
      <c r="K2287" t="str">
        <f>""</f>
        <v/>
      </c>
      <c r="M2287" t="s">
        <v>68</v>
      </c>
      <c r="N2287" t="str">
        <f t="shared" si="296"/>
        <v>FOR</v>
      </c>
      <c r="O2287" t="s">
        <v>69</v>
      </c>
      <c r="P2287" t="s">
        <v>75</v>
      </c>
      <c r="Q2287">
        <v>2016</v>
      </c>
      <c r="R2287" s="4">
        <v>42571</v>
      </c>
      <c r="S2287" s="2">
        <v>42571</v>
      </c>
      <c r="T2287" s="2">
        <v>42571</v>
      </c>
      <c r="U2287" s="4">
        <v>42631</v>
      </c>
      <c r="V2287" t="s">
        <v>71</v>
      </c>
      <c r="W2287" t="str">
        <f>"          2016107024"</f>
        <v xml:space="preserve">          2016107024</v>
      </c>
      <c r="X2287" s="1">
        <v>1508</v>
      </c>
      <c r="Y2287">
        <v>0</v>
      </c>
      <c r="Z2287" s="5">
        <v>1450</v>
      </c>
      <c r="AA2287" s="3">
        <v>166</v>
      </c>
      <c r="AB2287" s="5">
        <v>240700</v>
      </c>
      <c r="AC2287" s="1">
        <v>1450</v>
      </c>
      <c r="AD2287">
        <v>166</v>
      </c>
      <c r="AE2287" s="1">
        <v>240700</v>
      </c>
      <c r="AF2287">
        <v>58</v>
      </c>
      <c r="AJ2287">
        <v>0</v>
      </c>
      <c r="AK2287">
        <v>0</v>
      </c>
      <c r="AL2287">
        <v>0</v>
      </c>
      <c r="AM2287">
        <v>0</v>
      </c>
      <c r="AN2287">
        <v>0</v>
      </c>
      <c r="AO2287">
        <v>0</v>
      </c>
      <c r="AP2287" s="2">
        <v>42831</v>
      </c>
      <c r="AQ2287" t="s">
        <v>72</v>
      </c>
      <c r="AR2287" t="s">
        <v>72</v>
      </c>
      <c r="AS2287">
        <v>709</v>
      </c>
      <c r="AT2287" s="4">
        <v>42797</v>
      </c>
      <c r="AU2287" t="s">
        <v>73</v>
      </c>
      <c r="AV2287">
        <v>709</v>
      </c>
      <c r="AW2287" s="4">
        <v>42797</v>
      </c>
      <c r="BD2287">
        <v>58</v>
      </c>
      <c r="BN2287" t="s">
        <v>74</v>
      </c>
    </row>
    <row r="2288" spans="1:66">
      <c r="A2288">
        <v>106535</v>
      </c>
      <c r="B2288" t="s">
        <v>486</v>
      </c>
      <c r="C2288" s="1">
        <v>43300101</v>
      </c>
      <c r="D2288" t="s">
        <v>67</v>
      </c>
      <c r="H2288" t="str">
        <f t="shared" si="299"/>
        <v>08862820969</v>
      </c>
      <c r="I2288" t="str">
        <f t="shared" si="299"/>
        <v>08862820969</v>
      </c>
      <c r="K2288" t="str">
        <f>""</f>
        <v/>
      </c>
      <c r="M2288" t="s">
        <v>68</v>
      </c>
      <c r="N2288" t="str">
        <f t="shared" si="296"/>
        <v>FOR</v>
      </c>
      <c r="O2288" t="s">
        <v>69</v>
      </c>
      <c r="P2288" t="s">
        <v>75</v>
      </c>
      <c r="Q2288">
        <v>2016</v>
      </c>
      <c r="R2288" s="4">
        <v>42571</v>
      </c>
      <c r="S2288" s="2">
        <v>42571</v>
      </c>
      <c r="T2288" s="2">
        <v>42571</v>
      </c>
      <c r="U2288" s="4">
        <v>42631</v>
      </c>
      <c r="V2288" t="s">
        <v>71</v>
      </c>
      <c r="W2288" t="str">
        <f>"          2016107025"</f>
        <v xml:space="preserve">          2016107025</v>
      </c>
      <c r="X2288" s="1">
        <v>1508</v>
      </c>
      <c r="Y2288">
        <v>0</v>
      </c>
      <c r="Z2288" s="5">
        <v>1450</v>
      </c>
      <c r="AA2288" s="3">
        <v>166</v>
      </c>
      <c r="AB2288" s="5">
        <v>240700</v>
      </c>
      <c r="AC2288" s="1">
        <v>1450</v>
      </c>
      <c r="AD2288">
        <v>166</v>
      </c>
      <c r="AE2288" s="1">
        <v>240700</v>
      </c>
      <c r="AF2288">
        <v>58</v>
      </c>
      <c r="AJ2288">
        <v>0</v>
      </c>
      <c r="AK2288">
        <v>0</v>
      </c>
      <c r="AL2288">
        <v>0</v>
      </c>
      <c r="AM2288">
        <v>0</v>
      </c>
      <c r="AN2288">
        <v>0</v>
      </c>
      <c r="AO2288">
        <v>0</v>
      </c>
      <c r="AP2288" s="2">
        <v>42831</v>
      </c>
      <c r="AQ2288" t="s">
        <v>72</v>
      </c>
      <c r="AR2288" t="s">
        <v>72</v>
      </c>
      <c r="AS2288">
        <v>709</v>
      </c>
      <c r="AT2288" s="4">
        <v>42797</v>
      </c>
      <c r="AU2288" t="s">
        <v>73</v>
      </c>
      <c r="AV2288">
        <v>709</v>
      </c>
      <c r="AW2288" s="4">
        <v>42797</v>
      </c>
      <c r="BD2288">
        <v>58</v>
      </c>
      <c r="BN2288" t="s">
        <v>74</v>
      </c>
    </row>
    <row r="2289" spans="1:66">
      <c r="A2289">
        <v>106535</v>
      </c>
      <c r="B2289" t="s">
        <v>486</v>
      </c>
      <c r="C2289" s="1">
        <v>43300101</v>
      </c>
      <c r="D2289" t="s">
        <v>67</v>
      </c>
      <c r="H2289" t="str">
        <f t="shared" si="299"/>
        <v>08862820969</v>
      </c>
      <c r="I2289" t="str">
        <f t="shared" si="299"/>
        <v>08862820969</v>
      </c>
      <c r="K2289" t="str">
        <f>""</f>
        <v/>
      </c>
      <c r="M2289" t="s">
        <v>68</v>
      </c>
      <c r="N2289" t="str">
        <f t="shared" si="296"/>
        <v>FOR</v>
      </c>
      <c r="O2289" t="s">
        <v>69</v>
      </c>
      <c r="P2289" t="s">
        <v>75</v>
      </c>
      <c r="Q2289">
        <v>2016</v>
      </c>
      <c r="R2289" s="4">
        <v>42571</v>
      </c>
      <c r="S2289" s="2">
        <v>42571</v>
      </c>
      <c r="T2289" s="2">
        <v>42571</v>
      </c>
      <c r="U2289" s="4">
        <v>42631</v>
      </c>
      <c r="V2289" t="s">
        <v>71</v>
      </c>
      <c r="W2289" t="str">
        <f>"          2016107026"</f>
        <v xml:space="preserve">          2016107026</v>
      </c>
      <c r="X2289" s="1">
        <v>1508</v>
      </c>
      <c r="Y2289">
        <v>0</v>
      </c>
      <c r="Z2289" s="5">
        <v>1450</v>
      </c>
      <c r="AA2289" s="3">
        <v>166</v>
      </c>
      <c r="AB2289" s="5">
        <v>240700</v>
      </c>
      <c r="AC2289" s="1">
        <v>1450</v>
      </c>
      <c r="AD2289">
        <v>166</v>
      </c>
      <c r="AE2289" s="1">
        <v>240700</v>
      </c>
      <c r="AF2289">
        <v>58</v>
      </c>
      <c r="AJ2289">
        <v>0</v>
      </c>
      <c r="AK2289">
        <v>0</v>
      </c>
      <c r="AL2289">
        <v>0</v>
      </c>
      <c r="AM2289">
        <v>0</v>
      </c>
      <c r="AN2289">
        <v>0</v>
      </c>
      <c r="AO2289">
        <v>0</v>
      </c>
      <c r="AP2289" s="2">
        <v>42831</v>
      </c>
      <c r="AQ2289" t="s">
        <v>72</v>
      </c>
      <c r="AR2289" t="s">
        <v>72</v>
      </c>
      <c r="AS2289">
        <v>709</v>
      </c>
      <c r="AT2289" s="4">
        <v>42797</v>
      </c>
      <c r="AU2289" t="s">
        <v>73</v>
      </c>
      <c r="AV2289">
        <v>709</v>
      </c>
      <c r="AW2289" s="4">
        <v>42797</v>
      </c>
      <c r="BD2289">
        <v>58</v>
      </c>
      <c r="BN2289" t="s">
        <v>74</v>
      </c>
    </row>
    <row r="2290" spans="1:66">
      <c r="A2290">
        <v>106535</v>
      </c>
      <c r="B2290" t="s">
        <v>486</v>
      </c>
      <c r="C2290" s="1">
        <v>43300101</v>
      </c>
      <c r="D2290" t="s">
        <v>67</v>
      </c>
      <c r="H2290" t="str">
        <f t="shared" si="299"/>
        <v>08862820969</v>
      </c>
      <c r="I2290" t="str">
        <f t="shared" si="299"/>
        <v>08862820969</v>
      </c>
      <c r="K2290" t="str">
        <f>""</f>
        <v/>
      </c>
      <c r="M2290" t="s">
        <v>68</v>
      </c>
      <c r="N2290" t="str">
        <f t="shared" si="296"/>
        <v>FOR</v>
      </c>
      <c r="O2290" t="s">
        <v>69</v>
      </c>
      <c r="P2290" t="s">
        <v>75</v>
      </c>
      <c r="Q2290">
        <v>2016</v>
      </c>
      <c r="R2290" s="4">
        <v>42571</v>
      </c>
      <c r="S2290" s="2">
        <v>42571</v>
      </c>
      <c r="T2290" s="2">
        <v>42571</v>
      </c>
      <c r="U2290" s="4">
        <v>42631</v>
      </c>
      <c r="V2290" t="s">
        <v>71</v>
      </c>
      <c r="W2290" t="str">
        <f>"          2016107027"</f>
        <v xml:space="preserve">          2016107027</v>
      </c>
      <c r="X2290" s="1">
        <v>1508</v>
      </c>
      <c r="Y2290">
        <v>0</v>
      </c>
      <c r="Z2290" s="5">
        <v>1450</v>
      </c>
      <c r="AA2290" s="3">
        <v>166</v>
      </c>
      <c r="AB2290" s="5">
        <v>240700</v>
      </c>
      <c r="AC2290" s="1">
        <v>1450</v>
      </c>
      <c r="AD2290">
        <v>166</v>
      </c>
      <c r="AE2290" s="1">
        <v>240700</v>
      </c>
      <c r="AF2290">
        <v>58</v>
      </c>
      <c r="AJ2290">
        <v>0</v>
      </c>
      <c r="AK2290">
        <v>0</v>
      </c>
      <c r="AL2290">
        <v>0</v>
      </c>
      <c r="AM2290">
        <v>0</v>
      </c>
      <c r="AN2290">
        <v>0</v>
      </c>
      <c r="AO2290">
        <v>0</v>
      </c>
      <c r="AP2290" s="2">
        <v>42831</v>
      </c>
      <c r="AQ2290" t="s">
        <v>72</v>
      </c>
      <c r="AR2290" t="s">
        <v>72</v>
      </c>
      <c r="AS2290">
        <v>709</v>
      </c>
      <c r="AT2290" s="4">
        <v>42797</v>
      </c>
      <c r="AU2290" t="s">
        <v>73</v>
      </c>
      <c r="AV2290">
        <v>709</v>
      </c>
      <c r="AW2290" s="4">
        <v>42797</v>
      </c>
      <c r="BD2290">
        <v>58</v>
      </c>
      <c r="BN2290" t="s">
        <v>74</v>
      </c>
    </row>
    <row r="2291" spans="1:66">
      <c r="A2291">
        <v>106535</v>
      </c>
      <c r="B2291" t="s">
        <v>486</v>
      </c>
      <c r="C2291" s="1">
        <v>43300101</v>
      </c>
      <c r="D2291" t="s">
        <v>67</v>
      </c>
      <c r="H2291" t="str">
        <f t="shared" si="299"/>
        <v>08862820969</v>
      </c>
      <c r="I2291" t="str">
        <f t="shared" si="299"/>
        <v>08862820969</v>
      </c>
      <c r="K2291" t="str">
        <f>""</f>
        <v/>
      </c>
      <c r="M2291" t="s">
        <v>68</v>
      </c>
      <c r="N2291" t="str">
        <f t="shared" si="296"/>
        <v>FOR</v>
      </c>
      <c r="O2291" t="s">
        <v>69</v>
      </c>
      <c r="P2291" t="s">
        <v>75</v>
      </c>
      <c r="Q2291">
        <v>2016</v>
      </c>
      <c r="R2291" s="4">
        <v>42571</v>
      </c>
      <c r="S2291" s="2">
        <v>42571</v>
      </c>
      <c r="T2291" s="2">
        <v>42571</v>
      </c>
      <c r="U2291" s="4">
        <v>42631</v>
      </c>
      <c r="V2291" t="s">
        <v>71</v>
      </c>
      <c r="W2291" t="str">
        <f>"          2016107028"</f>
        <v xml:space="preserve">          2016107028</v>
      </c>
      <c r="X2291" s="1">
        <v>1508</v>
      </c>
      <c r="Y2291">
        <v>0</v>
      </c>
      <c r="Z2291" s="5">
        <v>1450</v>
      </c>
      <c r="AA2291" s="3">
        <v>166</v>
      </c>
      <c r="AB2291" s="5">
        <v>240700</v>
      </c>
      <c r="AC2291" s="1">
        <v>1450</v>
      </c>
      <c r="AD2291">
        <v>166</v>
      </c>
      <c r="AE2291" s="1">
        <v>240700</v>
      </c>
      <c r="AF2291">
        <v>58</v>
      </c>
      <c r="AJ2291">
        <v>0</v>
      </c>
      <c r="AK2291">
        <v>0</v>
      </c>
      <c r="AL2291">
        <v>0</v>
      </c>
      <c r="AM2291">
        <v>0</v>
      </c>
      <c r="AN2291">
        <v>0</v>
      </c>
      <c r="AO2291">
        <v>0</v>
      </c>
      <c r="AP2291" s="2">
        <v>42831</v>
      </c>
      <c r="AQ2291" t="s">
        <v>72</v>
      </c>
      <c r="AR2291" t="s">
        <v>72</v>
      </c>
      <c r="AS2291">
        <v>709</v>
      </c>
      <c r="AT2291" s="4">
        <v>42797</v>
      </c>
      <c r="AU2291" t="s">
        <v>73</v>
      </c>
      <c r="AV2291">
        <v>709</v>
      </c>
      <c r="AW2291" s="4">
        <v>42797</v>
      </c>
      <c r="BD2291">
        <v>58</v>
      </c>
      <c r="BN2291" t="s">
        <v>74</v>
      </c>
    </row>
    <row r="2292" spans="1:66">
      <c r="A2292">
        <v>106535</v>
      </c>
      <c r="B2292" t="s">
        <v>486</v>
      </c>
      <c r="C2292" s="1">
        <v>43300101</v>
      </c>
      <c r="D2292" t="s">
        <v>67</v>
      </c>
      <c r="H2292" t="str">
        <f t="shared" si="299"/>
        <v>08862820969</v>
      </c>
      <c r="I2292" t="str">
        <f t="shared" si="299"/>
        <v>08862820969</v>
      </c>
      <c r="K2292" t="str">
        <f>""</f>
        <v/>
      </c>
      <c r="M2292" t="s">
        <v>68</v>
      </c>
      <c r="N2292" t="str">
        <f t="shared" si="296"/>
        <v>FOR</v>
      </c>
      <c r="O2292" t="s">
        <v>69</v>
      </c>
      <c r="P2292" t="s">
        <v>75</v>
      </c>
      <c r="Q2292">
        <v>2016</v>
      </c>
      <c r="R2292" s="4">
        <v>42571</v>
      </c>
      <c r="S2292" s="2">
        <v>42571</v>
      </c>
      <c r="T2292" s="2">
        <v>42571</v>
      </c>
      <c r="U2292" s="4">
        <v>42631</v>
      </c>
      <c r="V2292" t="s">
        <v>71</v>
      </c>
      <c r="W2292" t="str">
        <f>"          2016107029"</f>
        <v xml:space="preserve">          2016107029</v>
      </c>
      <c r="X2292" s="1">
        <v>1508</v>
      </c>
      <c r="Y2292">
        <v>0</v>
      </c>
      <c r="Z2292" s="5">
        <v>1450</v>
      </c>
      <c r="AA2292" s="3">
        <v>166</v>
      </c>
      <c r="AB2292" s="5">
        <v>240700</v>
      </c>
      <c r="AC2292" s="1">
        <v>1450</v>
      </c>
      <c r="AD2292">
        <v>166</v>
      </c>
      <c r="AE2292" s="1">
        <v>240700</v>
      </c>
      <c r="AF2292">
        <v>58</v>
      </c>
      <c r="AJ2292">
        <v>0</v>
      </c>
      <c r="AK2292">
        <v>0</v>
      </c>
      <c r="AL2292">
        <v>0</v>
      </c>
      <c r="AM2292">
        <v>0</v>
      </c>
      <c r="AN2292">
        <v>0</v>
      </c>
      <c r="AO2292">
        <v>0</v>
      </c>
      <c r="AP2292" s="2">
        <v>42831</v>
      </c>
      <c r="AQ2292" t="s">
        <v>72</v>
      </c>
      <c r="AR2292" t="s">
        <v>72</v>
      </c>
      <c r="AS2292">
        <v>709</v>
      </c>
      <c r="AT2292" s="4">
        <v>42797</v>
      </c>
      <c r="AU2292" t="s">
        <v>73</v>
      </c>
      <c r="AV2292">
        <v>709</v>
      </c>
      <c r="AW2292" s="4">
        <v>42797</v>
      </c>
      <c r="BD2292">
        <v>58</v>
      </c>
      <c r="BN2292" t="s">
        <v>74</v>
      </c>
    </row>
    <row r="2293" spans="1:66">
      <c r="A2293">
        <v>106535</v>
      </c>
      <c r="B2293" t="s">
        <v>486</v>
      </c>
      <c r="C2293" s="1">
        <v>43300101</v>
      </c>
      <c r="D2293" t="s">
        <v>67</v>
      </c>
      <c r="H2293" t="str">
        <f t="shared" si="299"/>
        <v>08862820969</v>
      </c>
      <c r="I2293" t="str">
        <f t="shared" si="299"/>
        <v>08862820969</v>
      </c>
      <c r="K2293" t="str">
        <f>""</f>
        <v/>
      </c>
      <c r="M2293" t="s">
        <v>68</v>
      </c>
      <c r="N2293" t="str">
        <f t="shared" si="296"/>
        <v>FOR</v>
      </c>
      <c r="O2293" t="s">
        <v>69</v>
      </c>
      <c r="P2293" t="s">
        <v>75</v>
      </c>
      <c r="Q2293">
        <v>2016</v>
      </c>
      <c r="R2293" s="4">
        <v>42571</v>
      </c>
      <c r="S2293" s="2">
        <v>42571</v>
      </c>
      <c r="T2293" s="2">
        <v>42571</v>
      </c>
      <c r="U2293" s="4">
        <v>42631</v>
      </c>
      <c r="V2293" t="s">
        <v>71</v>
      </c>
      <c r="W2293" t="str">
        <f>"          2016107030"</f>
        <v xml:space="preserve">          2016107030</v>
      </c>
      <c r="X2293" s="1">
        <v>1508</v>
      </c>
      <c r="Y2293">
        <v>0</v>
      </c>
      <c r="Z2293" s="5">
        <v>1450</v>
      </c>
      <c r="AA2293" s="3">
        <v>166</v>
      </c>
      <c r="AB2293" s="5">
        <v>240700</v>
      </c>
      <c r="AC2293" s="1">
        <v>1450</v>
      </c>
      <c r="AD2293">
        <v>166</v>
      </c>
      <c r="AE2293" s="1">
        <v>240700</v>
      </c>
      <c r="AF2293">
        <v>58</v>
      </c>
      <c r="AJ2293">
        <v>0</v>
      </c>
      <c r="AK2293">
        <v>0</v>
      </c>
      <c r="AL2293">
        <v>0</v>
      </c>
      <c r="AM2293">
        <v>0</v>
      </c>
      <c r="AN2293">
        <v>0</v>
      </c>
      <c r="AO2293">
        <v>0</v>
      </c>
      <c r="AP2293" s="2">
        <v>42831</v>
      </c>
      <c r="AQ2293" t="s">
        <v>72</v>
      </c>
      <c r="AR2293" t="s">
        <v>72</v>
      </c>
      <c r="AS2293">
        <v>709</v>
      </c>
      <c r="AT2293" s="4">
        <v>42797</v>
      </c>
      <c r="AU2293" t="s">
        <v>73</v>
      </c>
      <c r="AV2293">
        <v>709</v>
      </c>
      <c r="AW2293" s="4">
        <v>42797</v>
      </c>
      <c r="BD2293">
        <v>58</v>
      </c>
      <c r="BN2293" t="s">
        <v>74</v>
      </c>
    </row>
    <row r="2294" spans="1:66">
      <c r="A2294">
        <v>106535</v>
      </c>
      <c r="B2294" t="s">
        <v>486</v>
      </c>
      <c r="C2294" s="1">
        <v>43300101</v>
      </c>
      <c r="D2294" t="s">
        <v>67</v>
      </c>
      <c r="H2294" t="str">
        <f t="shared" si="299"/>
        <v>08862820969</v>
      </c>
      <c r="I2294" t="str">
        <f t="shared" si="299"/>
        <v>08862820969</v>
      </c>
      <c r="K2294" t="str">
        <f>""</f>
        <v/>
      </c>
      <c r="M2294" t="s">
        <v>68</v>
      </c>
      <c r="N2294" t="str">
        <f t="shared" si="296"/>
        <v>FOR</v>
      </c>
      <c r="O2294" t="s">
        <v>69</v>
      </c>
      <c r="P2294" t="s">
        <v>75</v>
      </c>
      <c r="Q2294">
        <v>2016</v>
      </c>
      <c r="R2294" s="4">
        <v>42572</v>
      </c>
      <c r="S2294" s="2">
        <v>42577</v>
      </c>
      <c r="T2294" s="2">
        <v>42572</v>
      </c>
      <c r="U2294" s="4">
        <v>42632</v>
      </c>
      <c r="V2294" t="s">
        <v>71</v>
      </c>
      <c r="W2294" t="str">
        <f>"          2016107072"</f>
        <v xml:space="preserve">          2016107072</v>
      </c>
      <c r="X2294" s="1">
        <v>1372.8</v>
      </c>
      <c r="Y2294">
        <v>0</v>
      </c>
      <c r="Z2294" s="5">
        <v>1320</v>
      </c>
      <c r="AA2294" s="3">
        <v>165</v>
      </c>
      <c r="AB2294" s="5">
        <v>217800</v>
      </c>
      <c r="AC2294" s="1">
        <v>1320</v>
      </c>
      <c r="AD2294">
        <v>165</v>
      </c>
      <c r="AE2294" s="1">
        <v>217800</v>
      </c>
      <c r="AF2294">
        <v>52.8</v>
      </c>
      <c r="AJ2294">
        <v>0</v>
      </c>
      <c r="AK2294">
        <v>0</v>
      </c>
      <c r="AL2294">
        <v>0</v>
      </c>
      <c r="AM2294">
        <v>0</v>
      </c>
      <c r="AN2294">
        <v>0</v>
      </c>
      <c r="AO2294">
        <v>0</v>
      </c>
      <c r="AP2294" s="2">
        <v>42831</v>
      </c>
      <c r="AQ2294" t="s">
        <v>72</v>
      </c>
      <c r="AR2294" t="s">
        <v>72</v>
      </c>
      <c r="AS2294">
        <v>709</v>
      </c>
      <c r="AT2294" s="4">
        <v>42797</v>
      </c>
      <c r="AU2294" t="s">
        <v>73</v>
      </c>
      <c r="AV2294">
        <v>709</v>
      </c>
      <c r="AW2294" s="4">
        <v>42797</v>
      </c>
      <c r="BD2294">
        <v>52.8</v>
      </c>
      <c r="BN2294" t="s">
        <v>74</v>
      </c>
    </row>
    <row r="2295" spans="1:66">
      <c r="A2295">
        <v>106535</v>
      </c>
      <c r="B2295" t="s">
        <v>486</v>
      </c>
      <c r="C2295" s="1">
        <v>43300101</v>
      </c>
      <c r="D2295" t="s">
        <v>67</v>
      </c>
      <c r="H2295" t="str">
        <f t="shared" si="299"/>
        <v>08862820969</v>
      </c>
      <c r="I2295" t="str">
        <f t="shared" si="299"/>
        <v>08862820969</v>
      </c>
      <c r="K2295" t="str">
        <f>""</f>
        <v/>
      </c>
      <c r="M2295" t="s">
        <v>68</v>
      </c>
      <c r="N2295" t="str">
        <f t="shared" ref="N2295:N2316" si="300">"FOR"</f>
        <v>FOR</v>
      </c>
      <c r="O2295" t="s">
        <v>69</v>
      </c>
      <c r="P2295" t="s">
        <v>75</v>
      </c>
      <c r="Q2295">
        <v>2016</v>
      </c>
      <c r="R2295" s="4">
        <v>42573</v>
      </c>
      <c r="S2295" s="2">
        <v>42577</v>
      </c>
      <c r="T2295" s="2">
        <v>42573</v>
      </c>
      <c r="U2295" s="4">
        <v>42633</v>
      </c>
      <c r="V2295" t="s">
        <v>71</v>
      </c>
      <c r="W2295" t="str">
        <f>"          2016107138"</f>
        <v xml:space="preserve">          2016107138</v>
      </c>
      <c r="X2295" s="1">
        <v>1508</v>
      </c>
      <c r="Y2295">
        <v>0</v>
      </c>
      <c r="Z2295" s="5">
        <v>1450</v>
      </c>
      <c r="AA2295" s="3">
        <v>164</v>
      </c>
      <c r="AB2295" s="5">
        <v>237800</v>
      </c>
      <c r="AC2295" s="1">
        <v>1450</v>
      </c>
      <c r="AD2295">
        <v>164</v>
      </c>
      <c r="AE2295" s="1">
        <v>237800</v>
      </c>
      <c r="AF2295">
        <v>58</v>
      </c>
      <c r="AJ2295">
        <v>0</v>
      </c>
      <c r="AK2295">
        <v>0</v>
      </c>
      <c r="AL2295">
        <v>0</v>
      </c>
      <c r="AM2295">
        <v>0</v>
      </c>
      <c r="AN2295">
        <v>0</v>
      </c>
      <c r="AO2295">
        <v>0</v>
      </c>
      <c r="AP2295" s="2">
        <v>42831</v>
      </c>
      <c r="AQ2295" t="s">
        <v>72</v>
      </c>
      <c r="AR2295" t="s">
        <v>72</v>
      </c>
      <c r="AS2295">
        <v>709</v>
      </c>
      <c r="AT2295" s="4">
        <v>42797</v>
      </c>
      <c r="AU2295" t="s">
        <v>73</v>
      </c>
      <c r="AV2295">
        <v>709</v>
      </c>
      <c r="AW2295" s="4">
        <v>42797</v>
      </c>
      <c r="BD2295">
        <v>58</v>
      </c>
      <c r="BN2295" t="s">
        <v>74</v>
      </c>
    </row>
    <row r="2296" spans="1:66">
      <c r="A2296">
        <v>106535</v>
      </c>
      <c r="B2296" t="s">
        <v>486</v>
      </c>
      <c r="C2296" s="1">
        <v>43300101</v>
      </c>
      <c r="D2296" t="s">
        <v>67</v>
      </c>
      <c r="H2296" t="str">
        <f t="shared" si="299"/>
        <v>08862820969</v>
      </c>
      <c r="I2296" t="str">
        <f t="shared" si="299"/>
        <v>08862820969</v>
      </c>
      <c r="K2296" t="str">
        <f>""</f>
        <v/>
      </c>
      <c r="M2296" t="s">
        <v>68</v>
      </c>
      <c r="N2296" t="str">
        <f t="shared" si="300"/>
        <v>FOR</v>
      </c>
      <c r="O2296" t="s">
        <v>69</v>
      </c>
      <c r="P2296" t="s">
        <v>75</v>
      </c>
      <c r="Q2296">
        <v>2016</v>
      </c>
      <c r="R2296" s="4">
        <v>42573</v>
      </c>
      <c r="S2296" s="2">
        <v>42577</v>
      </c>
      <c r="T2296" s="2">
        <v>42573</v>
      </c>
      <c r="U2296" s="4">
        <v>42633</v>
      </c>
      <c r="V2296" t="s">
        <v>71</v>
      </c>
      <c r="W2296" t="str">
        <f>"          2016107139"</f>
        <v xml:space="preserve">          2016107139</v>
      </c>
      <c r="X2296" s="1">
        <v>1372.8</v>
      </c>
      <c r="Y2296">
        <v>0</v>
      </c>
      <c r="Z2296" s="5">
        <v>1320</v>
      </c>
      <c r="AA2296" s="3">
        <v>164</v>
      </c>
      <c r="AB2296" s="5">
        <v>216480</v>
      </c>
      <c r="AC2296" s="1">
        <v>1320</v>
      </c>
      <c r="AD2296">
        <v>164</v>
      </c>
      <c r="AE2296" s="1">
        <v>216480</v>
      </c>
      <c r="AF2296">
        <v>52.8</v>
      </c>
      <c r="AJ2296">
        <v>0</v>
      </c>
      <c r="AK2296">
        <v>0</v>
      </c>
      <c r="AL2296">
        <v>0</v>
      </c>
      <c r="AM2296">
        <v>0</v>
      </c>
      <c r="AN2296">
        <v>0</v>
      </c>
      <c r="AO2296">
        <v>0</v>
      </c>
      <c r="AP2296" s="2">
        <v>42831</v>
      </c>
      <c r="AQ2296" t="s">
        <v>72</v>
      </c>
      <c r="AR2296" t="s">
        <v>72</v>
      </c>
      <c r="AS2296">
        <v>709</v>
      </c>
      <c r="AT2296" s="4">
        <v>42797</v>
      </c>
      <c r="AU2296" t="s">
        <v>73</v>
      </c>
      <c r="AV2296">
        <v>709</v>
      </c>
      <c r="AW2296" s="4">
        <v>42797</v>
      </c>
      <c r="BD2296">
        <v>52.8</v>
      </c>
      <c r="BN2296" t="s">
        <v>74</v>
      </c>
    </row>
    <row r="2297" spans="1:66">
      <c r="A2297">
        <v>106535</v>
      </c>
      <c r="B2297" t="s">
        <v>486</v>
      </c>
      <c r="C2297" s="1">
        <v>43300101</v>
      </c>
      <c r="D2297" t="s">
        <v>67</v>
      </c>
      <c r="H2297" t="str">
        <f t="shared" si="299"/>
        <v>08862820969</v>
      </c>
      <c r="I2297" t="str">
        <f t="shared" si="299"/>
        <v>08862820969</v>
      </c>
      <c r="K2297" t="str">
        <f>""</f>
        <v/>
      </c>
      <c r="M2297" t="s">
        <v>68</v>
      </c>
      <c r="N2297" t="str">
        <f t="shared" si="300"/>
        <v>FOR</v>
      </c>
      <c r="O2297" t="s">
        <v>69</v>
      </c>
      <c r="P2297" t="s">
        <v>75</v>
      </c>
      <c r="Q2297">
        <v>2016</v>
      </c>
      <c r="R2297" s="4">
        <v>42573</v>
      </c>
      <c r="S2297" s="2">
        <v>42577</v>
      </c>
      <c r="T2297" s="2">
        <v>42573</v>
      </c>
      <c r="U2297" s="4">
        <v>42633</v>
      </c>
      <c r="V2297" t="s">
        <v>71</v>
      </c>
      <c r="W2297" t="str">
        <f>"          2016107140"</f>
        <v xml:space="preserve">          2016107140</v>
      </c>
      <c r="X2297" s="1">
        <v>1372.8</v>
      </c>
      <c r="Y2297">
        <v>0</v>
      </c>
      <c r="Z2297" s="5">
        <v>1320</v>
      </c>
      <c r="AA2297" s="3">
        <v>164</v>
      </c>
      <c r="AB2297" s="5">
        <v>216480</v>
      </c>
      <c r="AC2297" s="1">
        <v>1320</v>
      </c>
      <c r="AD2297">
        <v>164</v>
      </c>
      <c r="AE2297" s="1">
        <v>216480</v>
      </c>
      <c r="AF2297">
        <v>52.8</v>
      </c>
      <c r="AJ2297">
        <v>0</v>
      </c>
      <c r="AK2297">
        <v>0</v>
      </c>
      <c r="AL2297">
        <v>0</v>
      </c>
      <c r="AM2297">
        <v>0</v>
      </c>
      <c r="AN2297">
        <v>0</v>
      </c>
      <c r="AO2297">
        <v>0</v>
      </c>
      <c r="AP2297" s="2">
        <v>42831</v>
      </c>
      <c r="AQ2297" t="s">
        <v>72</v>
      </c>
      <c r="AR2297" t="s">
        <v>72</v>
      </c>
      <c r="AS2297">
        <v>709</v>
      </c>
      <c r="AT2297" s="4">
        <v>42797</v>
      </c>
      <c r="AU2297" t="s">
        <v>73</v>
      </c>
      <c r="AV2297">
        <v>709</v>
      </c>
      <c r="AW2297" s="4">
        <v>42797</v>
      </c>
      <c r="BD2297">
        <v>52.8</v>
      </c>
      <c r="BN2297" t="s">
        <v>74</v>
      </c>
    </row>
    <row r="2298" spans="1:66">
      <c r="A2298">
        <v>106535</v>
      </c>
      <c r="B2298" t="s">
        <v>486</v>
      </c>
      <c r="C2298" s="1">
        <v>43300101</v>
      </c>
      <c r="D2298" t="s">
        <v>67</v>
      </c>
      <c r="H2298" t="str">
        <f t="shared" si="299"/>
        <v>08862820969</v>
      </c>
      <c r="I2298" t="str">
        <f t="shared" si="299"/>
        <v>08862820969</v>
      </c>
      <c r="K2298" t="str">
        <f>""</f>
        <v/>
      </c>
      <c r="M2298" t="s">
        <v>68</v>
      </c>
      <c r="N2298" t="str">
        <f t="shared" si="300"/>
        <v>FOR</v>
      </c>
      <c r="O2298" t="s">
        <v>69</v>
      </c>
      <c r="P2298" t="s">
        <v>75</v>
      </c>
      <c r="Q2298">
        <v>2016</v>
      </c>
      <c r="R2298" s="4">
        <v>42573</v>
      </c>
      <c r="S2298" s="2">
        <v>42577</v>
      </c>
      <c r="T2298" s="2">
        <v>42573</v>
      </c>
      <c r="U2298" s="4">
        <v>42633</v>
      </c>
      <c r="V2298" t="s">
        <v>71</v>
      </c>
      <c r="W2298" t="str">
        <f>"          2016107141"</f>
        <v xml:space="preserve">          2016107141</v>
      </c>
      <c r="X2298" s="1">
        <v>1372.8</v>
      </c>
      <c r="Y2298">
        <v>0</v>
      </c>
      <c r="Z2298" s="5">
        <v>1320</v>
      </c>
      <c r="AA2298" s="3">
        <v>164</v>
      </c>
      <c r="AB2298" s="5">
        <v>216480</v>
      </c>
      <c r="AC2298" s="1">
        <v>1320</v>
      </c>
      <c r="AD2298">
        <v>164</v>
      </c>
      <c r="AE2298" s="1">
        <v>216480</v>
      </c>
      <c r="AF2298">
        <v>52.8</v>
      </c>
      <c r="AJ2298">
        <v>0</v>
      </c>
      <c r="AK2298">
        <v>0</v>
      </c>
      <c r="AL2298">
        <v>0</v>
      </c>
      <c r="AM2298">
        <v>0</v>
      </c>
      <c r="AN2298">
        <v>0</v>
      </c>
      <c r="AO2298">
        <v>0</v>
      </c>
      <c r="AP2298" s="2">
        <v>42831</v>
      </c>
      <c r="AQ2298" t="s">
        <v>72</v>
      </c>
      <c r="AR2298" t="s">
        <v>72</v>
      </c>
      <c r="AS2298">
        <v>709</v>
      </c>
      <c r="AT2298" s="4">
        <v>42797</v>
      </c>
      <c r="AU2298" t="s">
        <v>73</v>
      </c>
      <c r="AV2298">
        <v>709</v>
      </c>
      <c r="AW2298" s="4">
        <v>42797</v>
      </c>
      <c r="BD2298">
        <v>52.8</v>
      </c>
      <c r="BN2298" t="s">
        <v>74</v>
      </c>
    </row>
    <row r="2299" spans="1:66">
      <c r="A2299">
        <v>106535</v>
      </c>
      <c r="B2299" t="s">
        <v>486</v>
      </c>
      <c r="C2299" s="1">
        <v>43300101</v>
      </c>
      <c r="D2299" t="s">
        <v>67</v>
      </c>
      <c r="H2299" t="str">
        <f t="shared" si="299"/>
        <v>08862820969</v>
      </c>
      <c r="I2299" t="str">
        <f t="shared" si="299"/>
        <v>08862820969</v>
      </c>
      <c r="K2299" t="str">
        <f>""</f>
        <v/>
      </c>
      <c r="M2299" t="s">
        <v>68</v>
      </c>
      <c r="N2299" t="str">
        <f t="shared" si="300"/>
        <v>FOR</v>
      </c>
      <c r="O2299" t="s">
        <v>69</v>
      </c>
      <c r="P2299" t="s">
        <v>75</v>
      </c>
      <c r="Q2299">
        <v>2016</v>
      </c>
      <c r="R2299" s="4">
        <v>42573</v>
      </c>
      <c r="S2299" s="2">
        <v>42577</v>
      </c>
      <c r="T2299" s="2">
        <v>42573</v>
      </c>
      <c r="U2299" s="4">
        <v>42633</v>
      </c>
      <c r="V2299" t="s">
        <v>71</v>
      </c>
      <c r="W2299" t="str">
        <f>"          2016107142"</f>
        <v xml:space="preserve">          2016107142</v>
      </c>
      <c r="X2299" s="1">
        <v>1372.8</v>
      </c>
      <c r="Y2299">
        <v>0</v>
      </c>
      <c r="Z2299" s="5">
        <v>1320</v>
      </c>
      <c r="AA2299" s="3">
        <v>164</v>
      </c>
      <c r="AB2299" s="5">
        <v>216480</v>
      </c>
      <c r="AC2299" s="1">
        <v>1320</v>
      </c>
      <c r="AD2299">
        <v>164</v>
      </c>
      <c r="AE2299" s="1">
        <v>216480</v>
      </c>
      <c r="AF2299">
        <v>52.8</v>
      </c>
      <c r="AJ2299">
        <v>0</v>
      </c>
      <c r="AK2299">
        <v>0</v>
      </c>
      <c r="AL2299">
        <v>0</v>
      </c>
      <c r="AM2299">
        <v>0</v>
      </c>
      <c r="AN2299">
        <v>0</v>
      </c>
      <c r="AO2299">
        <v>0</v>
      </c>
      <c r="AP2299" s="2">
        <v>42831</v>
      </c>
      <c r="AQ2299" t="s">
        <v>72</v>
      </c>
      <c r="AR2299" t="s">
        <v>72</v>
      </c>
      <c r="AS2299">
        <v>709</v>
      </c>
      <c r="AT2299" s="4">
        <v>42797</v>
      </c>
      <c r="AU2299" t="s">
        <v>73</v>
      </c>
      <c r="AV2299">
        <v>709</v>
      </c>
      <c r="AW2299" s="4">
        <v>42797</v>
      </c>
      <c r="BD2299">
        <v>52.8</v>
      </c>
      <c r="BN2299" t="s">
        <v>74</v>
      </c>
    </row>
    <row r="2300" spans="1:66">
      <c r="A2300">
        <v>106535</v>
      </c>
      <c r="B2300" t="s">
        <v>486</v>
      </c>
      <c r="C2300" s="1">
        <v>43300101</v>
      </c>
      <c r="D2300" t="s">
        <v>67</v>
      </c>
      <c r="H2300" t="str">
        <f t="shared" si="299"/>
        <v>08862820969</v>
      </c>
      <c r="I2300" t="str">
        <f t="shared" si="299"/>
        <v>08862820969</v>
      </c>
      <c r="K2300" t="str">
        <f>""</f>
        <v/>
      </c>
      <c r="M2300" t="s">
        <v>68</v>
      </c>
      <c r="N2300" t="str">
        <f t="shared" si="300"/>
        <v>FOR</v>
      </c>
      <c r="O2300" t="s">
        <v>69</v>
      </c>
      <c r="P2300" t="s">
        <v>75</v>
      </c>
      <c r="Q2300">
        <v>2016</v>
      </c>
      <c r="R2300" s="4">
        <v>42615</v>
      </c>
      <c r="S2300" s="2">
        <v>42620</v>
      </c>
      <c r="T2300" s="2">
        <v>42615</v>
      </c>
      <c r="U2300" s="4">
        <v>42675</v>
      </c>
      <c r="V2300" t="s">
        <v>71</v>
      </c>
      <c r="W2300" t="str">
        <f>"          2016108236"</f>
        <v xml:space="preserve">          2016108236</v>
      </c>
      <c r="X2300" s="1">
        <v>1372.8</v>
      </c>
      <c r="Y2300">
        <v>0</v>
      </c>
      <c r="Z2300" s="5">
        <v>1320</v>
      </c>
      <c r="AA2300" s="3">
        <v>122</v>
      </c>
      <c r="AB2300" s="5">
        <v>161040</v>
      </c>
      <c r="AC2300" s="1">
        <v>1320</v>
      </c>
      <c r="AD2300">
        <v>122</v>
      </c>
      <c r="AE2300" s="1">
        <v>161040</v>
      </c>
      <c r="AF2300">
        <v>52.8</v>
      </c>
      <c r="AJ2300">
        <v>0</v>
      </c>
      <c r="AK2300">
        <v>0</v>
      </c>
      <c r="AL2300">
        <v>0</v>
      </c>
      <c r="AM2300">
        <v>0</v>
      </c>
      <c r="AN2300">
        <v>0</v>
      </c>
      <c r="AO2300">
        <v>0</v>
      </c>
      <c r="AP2300" s="2">
        <v>42831</v>
      </c>
      <c r="AQ2300" t="s">
        <v>72</v>
      </c>
      <c r="AR2300" t="s">
        <v>72</v>
      </c>
      <c r="AS2300">
        <v>709</v>
      </c>
      <c r="AT2300" s="4">
        <v>42797</v>
      </c>
      <c r="AU2300" t="s">
        <v>73</v>
      </c>
      <c r="AV2300">
        <v>709</v>
      </c>
      <c r="AW2300" s="4">
        <v>42797</v>
      </c>
      <c r="BB2300">
        <v>52.8</v>
      </c>
      <c r="BD2300">
        <v>0</v>
      </c>
      <c r="BN2300" t="s">
        <v>74</v>
      </c>
    </row>
    <row r="2301" spans="1:66">
      <c r="A2301">
        <v>106535</v>
      </c>
      <c r="B2301" t="s">
        <v>486</v>
      </c>
      <c r="C2301" s="1">
        <v>43300101</v>
      </c>
      <c r="D2301" t="s">
        <v>67</v>
      </c>
      <c r="H2301" t="str">
        <f t="shared" si="299"/>
        <v>08862820969</v>
      </c>
      <c r="I2301" t="str">
        <f t="shared" si="299"/>
        <v>08862820969</v>
      </c>
      <c r="K2301" t="str">
        <f>""</f>
        <v/>
      </c>
      <c r="M2301" t="s">
        <v>68</v>
      </c>
      <c r="N2301" t="str">
        <f t="shared" si="300"/>
        <v>FOR</v>
      </c>
      <c r="O2301" t="s">
        <v>69</v>
      </c>
      <c r="P2301" t="s">
        <v>75</v>
      </c>
      <c r="Q2301">
        <v>2016</v>
      </c>
      <c r="R2301" s="4">
        <v>42615</v>
      </c>
      <c r="S2301" s="2">
        <v>42620</v>
      </c>
      <c r="T2301" s="2">
        <v>42615</v>
      </c>
      <c r="U2301" s="4">
        <v>42675</v>
      </c>
      <c r="V2301" t="s">
        <v>71</v>
      </c>
      <c r="W2301" t="str">
        <f>"          2016108237"</f>
        <v xml:space="preserve">          2016108237</v>
      </c>
      <c r="X2301" s="1">
        <v>1372.8</v>
      </c>
      <c r="Y2301">
        <v>0</v>
      </c>
      <c r="Z2301" s="5">
        <v>1320</v>
      </c>
      <c r="AA2301" s="3">
        <v>122</v>
      </c>
      <c r="AB2301" s="5">
        <v>161040</v>
      </c>
      <c r="AC2301" s="1">
        <v>1320</v>
      </c>
      <c r="AD2301">
        <v>122</v>
      </c>
      <c r="AE2301" s="1">
        <v>161040</v>
      </c>
      <c r="AF2301">
        <v>52.8</v>
      </c>
      <c r="AJ2301">
        <v>0</v>
      </c>
      <c r="AK2301">
        <v>0</v>
      </c>
      <c r="AL2301">
        <v>0</v>
      </c>
      <c r="AM2301">
        <v>0</v>
      </c>
      <c r="AN2301">
        <v>0</v>
      </c>
      <c r="AO2301">
        <v>0</v>
      </c>
      <c r="AP2301" s="2">
        <v>42831</v>
      </c>
      <c r="AQ2301" t="s">
        <v>72</v>
      </c>
      <c r="AR2301" t="s">
        <v>72</v>
      </c>
      <c r="AS2301">
        <v>709</v>
      </c>
      <c r="AT2301" s="4">
        <v>42797</v>
      </c>
      <c r="AU2301" t="s">
        <v>73</v>
      </c>
      <c r="AV2301">
        <v>709</v>
      </c>
      <c r="AW2301" s="4">
        <v>42797</v>
      </c>
      <c r="BB2301">
        <v>52.8</v>
      </c>
      <c r="BD2301">
        <v>0</v>
      </c>
      <c r="BN2301" t="s">
        <v>74</v>
      </c>
    </row>
    <row r="2302" spans="1:66">
      <c r="A2302">
        <v>106535</v>
      </c>
      <c r="B2302" t="s">
        <v>486</v>
      </c>
      <c r="C2302" s="1">
        <v>43300101</v>
      </c>
      <c r="D2302" t="s">
        <v>67</v>
      </c>
      <c r="H2302" t="str">
        <f t="shared" si="299"/>
        <v>08862820969</v>
      </c>
      <c r="I2302" t="str">
        <f t="shared" si="299"/>
        <v>08862820969</v>
      </c>
      <c r="K2302" t="str">
        <f>""</f>
        <v/>
      </c>
      <c r="M2302" t="s">
        <v>68</v>
      </c>
      <c r="N2302" t="str">
        <f t="shared" si="300"/>
        <v>FOR</v>
      </c>
      <c r="O2302" t="s">
        <v>69</v>
      </c>
      <c r="P2302" t="s">
        <v>75</v>
      </c>
      <c r="Q2302">
        <v>2016</v>
      </c>
      <c r="R2302" s="4">
        <v>42615</v>
      </c>
      <c r="S2302" s="2">
        <v>42620</v>
      </c>
      <c r="T2302" s="2">
        <v>42615</v>
      </c>
      <c r="U2302" s="4">
        <v>42675</v>
      </c>
      <c r="V2302" t="s">
        <v>71</v>
      </c>
      <c r="W2302" t="str">
        <f>"          2016108238"</f>
        <v xml:space="preserve">          2016108238</v>
      </c>
      <c r="X2302" s="1">
        <v>1144</v>
      </c>
      <c r="Y2302">
        <v>0</v>
      </c>
      <c r="Z2302" s="5">
        <v>1100</v>
      </c>
      <c r="AA2302" s="3">
        <v>122</v>
      </c>
      <c r="AB2302" s="5">
        <v>134200</v>
      </c>
      <c r="AC2302" s="1">
        <v>1100</v>
      </c>
      <c r="AD2302">
        <v>122</v>
      </c>
      <c r="AE2302" s="1">
        <v>134200</v>
      </c>
      <c r="AF2302">
        <v>44</v>
      </c>
      <c r="AJ2302">
        <v>0</v>
      </c>
      <c r="AK2302">
        <v>0</v>
      </c>
      <c r="AL2302">
        <v>0</v>
      </c>
      <c r="AM2302">
        <v>0</v>
      </c>
      <c r="AN2302">
        <v>0</v>
      </c>
      <c r="AO2302">
        <v>0</v>
      </c>
      <c r="AP2302" s="2">
        <v>42831</v>
      </c>
      <c r="AQ2302" t="s">
        <v>72</v>
      </c>
      <c r="AR2302" t="s">
        <v>72</v>
      </c>
      <c r="AS2302">
        <v>709</v>
      </c>
      <c r="AT2302" s="4">
        <v>42797</v>
      </c>
      <c r="AU2302" t="s">
        <v>73</v>
      </c>
      <c r="AV2302">
        <v>709</v>
      </c>
      <c r="AW2302" s="4">
        <v>42797</v>
      </c>
      <c r="BB2302">
        <v>44</v>
      </c>
      <c r="BD2302">
        <v>0</v>
      </c>
      <c r="BN2302" t="s">
        <v>74</v>
      </c>
    </row>
    <row r="2303" spans="1:66">
      <c r="A2303">
        <v>106535</v>
      </c>
      <c r="B2303" t="s">
        <v>486</v>
      </c>
      <c r="C2303" s="1">
        <v>43300101</v>
      </c>
      <c r="D2303" t="s">
        <v>67</v>
      </c>
      <c r="H2303" t="str">
        <f t="shared" si="299"/>
        <v>08862820969</v>
      </c>
      <c r="I2303" t="str">
        <f t="shared" si="299"/>
        <v>08862820969</v>
      </c>
      <c r="K2303" t="str">
        <f>""</f>
        <v/>
      </c>
      <c r="M2303" t="s">
        <v>68</v>
      </c>
      <c r="N2303" t="str">
        <f t="shared" si="300"/>
        <v>FOR</v>
      </c>
      <c r="O2303" t="s">
        <v>69</v>
      </c>
      <c r="P2303" t="s">
        <v>75</v>
      </c>
      <c r="Q2303">
        <v>2016</v>
      </c>
      <c r="R2303" s="4">
        <v>42615</v>
      </c>
      <c r="S2303" s="2">
        <v>42620</v>
      </c>
      <c r="T2303" s="2">
        <v>42615</v>
      </c>
      <c r="U2303" s="4">
        <v>42675</v>
      </c>
      <c r="V2303" t="s">
        <v>71</v>
      </c>
      <c r="W2303" t="str">
        <f>"          2016108239"</f>
        <v xml:space="preserve">          2016108239</v>
      </c>
      <c r="X2303" s="1">
        <v>1508</v>
      </c>
      <c r="Y2303">
        <v>0</v>
      </c>
      <c r="Z2303" s="5">
        <v>1450</v>
      </c>
      <c r="AA2303" s="3">
        <v>122</v>
      </c>
      <c r="AB2303" s="5">
        <v>176900</v>
      </c>
      <c r="AC2303" s="1">
        <v>1450</v>
      </c>
      <c r="AD2303">
        <v>122</v>
      </c>
      <c r="AE2303" s="1">
        <v>176900</v>
      </c>
      <c r="AF2303">
        <v>58</v>
      </c>
      <c r="AJ2303">
        <v>0</v>
      </c>
      <c r="AK2303">
        <v>0</v>
      </c>
      <c r="AL2303">
        <v>0</v>
      </c>
      <c r="AM2303">
        <v>0</v>
      </c>
      <c r="AN2303">
        <v>0</v>
      </c>
      <c r="AO2303">
        <v>0</v>
      </c>
      <c r="AP2303" s="2">
        <v>42831</v>
      </c>
      <c r="AQ2303" t="s">
        <v>72</v>
      </c>
      <c r="AR2303" t="s">
        <v>72</v>
      </c>
      <c r="AS2303">
        <v>709</v>
      </c>
      <c r="AT2303" s="4">
        <v>42797</v>
      </c>
      <c r="AU2303" t="s">
        <v>73</v>
      </c>
      <c r="AV2303">
        <v>709</v>
      </c>
      <c r="AW2303" s="4">
        <v>42797</v>
      </c>
      <c r="BB2303">
        <v>58</v>
      </c>
      <c r="BD2303">
        <v>0</v>
      </c>
      <c r="BN2303" t="s">
        <v>74</v>
      </c>
    </row>
    <row r="2304" spans="1:66">
      <c r="A2304">
        <v>106535</v>
      </c>
      <c r="B2304" t="s">
        <v>486</v>
      </c>
      <c r="C2304" s="1">
        <v>43300101</v>
      </c>
      <c r="D2304" t="s">
        <v>67</v>
      </c>
      <c r="H2304" t="str">
        <f t="shared" si="299"/>
        <v>08862820969</v>
      </c>
      <c r="I2304" t="str">
        <f t="shared" si="299"/>
        <v>08862820969</v>
      </c>
      <c r="K2304" t="str">
        <f>""</f>
        <v/>
      </c>
      <c r="M2304" t="s">
        <v>68</v>
      </c>
      <c r="N2304" t="str">
        <f t="shared" si="300"/>
        <v>FOR</v>
      </c>
      <c r="O2304" t="s">
        <v>69</v>
      </c>
      <c r="P2304" t="s">
        <v>75</v>
      </c>
      <c r="Q2304">
        <v>2016</v>
      </c>
      <c r="R2304" s="4">
        <v>42622</v>
      </c>
      <c r="S2304" s="2">
        <v>42627</v>
      </c>
      <c r="T2304" s="2">
        <v>42622</v>
      </c>
      <c r="U2304" s="4">
        <v>42682</v>
      </c>
      <c r="V2304" t="s">
        <v>71</v>
      </c>
      <c r="W2304" t="str">
        <f>"          2016108417"</f>
        <v xml:space="preserve">          2016108417</v>
      </c>
      <c r="X2304" s="1">
        <v>1508</v>
      </c>
      <c r="Y2304">
        <v>0</v>
      </c>
      <c r="Z2304" s="5">
        <v>1450</v>
      </c>
      <c r="AA2304" s="3">
        <v>115</v>
      </c>
      <c r="AB2304" s="5">
        <v>166750</v>
      </c>
      <c r="AC2304" s="1">
        <v>1450</v>
      </c>
      <c r="AD2304">
        <v>115</v>
      </c>
      <c r="AE2304" s="1">
        <v>166750</v>
      </c>
      <c r="AF2304">
        <v>58</v>
      </c>
      <c r="AJ2304">
        <v>0</v>
      </c>
      <c r="AK2304">
        <v>0</v>
      </c>
      <c r="AL2304">
        <v>0</v>
      </c>
      <c r="AM2304">
        <v>0</v>
      </c>
      <c r="AN2304">
        <v>0</v>
      </c>
      <c r="AO2304">
        <v>0</v>
      </c>
      <c r="AP2304" s="2">
        <v>42831</v>
      </c>
      <c r="AQ2304" t="s">
        <v>72</v>
      </c>
      <c r="AR2304" t="s">
        <v>72</v>
      </c>
      <c r="AS2304">
        <v>709</v>
      </c>
      <c r="AT2304" s="4">
        <v>42797</v>
      </c>
      <c r="AU2304" t="s">
        <v>73</v>
      </c>
      <c r="AV2304">
        <v>709</v>
      </c>
      <c r="AW2304" s="4">
        <v>42797</v>
      </c>
      <c r="BB2304">
        <v>58</v>
      </c>
      <c r="BD2304">
        <v>0</v>
      </c>
      <c r="BN2304" t="s">
        <v>74</v>
      </c>
    </row>
    <row r="2305" spans="1:66">
      <c r="A2305">
        <v>106535</v>
      </c>
      <c r="B2305" t="s">
        <v>486</v>
      </c>
      <c r="C2305" s="1">
        <v>43300101</v>
      </c>
      <c r="D2305" t="s">
        <v>67</v>
      </c>
      <c r="H2305" t="str">
        <f t="shared" si="299"/>
        <v>08862820969</v>
      </c>
      <c r="I2305" t="str">
        <f t="shared" si="299"/>
        <v>08862820969</v>
      </c>
      <c r="K2305" t="str">
        <f>""</f>
        <v/>
      </c>
      <c r="M2305" t="s">
        <v>68</v>
      </c>
      <c r="N2305" t="str">
        <f t="shared" si="300"/>
        <v>FOR</v>
      </c>
      <c r="O2305" t="s">
        <v>69</v>
      </c>
      <c r="P2305" t="s">
        <v>75</v>
      </c>
      <c r="Q2305">
        <v>2016</v>
      </c>
      <c r="R2305" s="4">
        <v>42622</v>
      </c>
      <c r="S2305" s="2">
        <v>42627</v>
      </c>
      <c r="T2305" s="2">
        <v>42622</v>
      </c>
      <c r="U2305" s="4">
        <v>42682</v>
      </c>
      <c r="V2305" t="s">
        <v>71</v>
      </c>
      <c r="W2305" t="str">
        <f>"          2016108418"</f>
        <v xml:space="preserve">          2016108418</v>
      </c>
      <c r="X2305" s="1">
        <v>1508</v>
      </c>
      <c r="Y2305">
        <v>0</v>
      </c>
      <c r="Z2305" s="5">
        <v>1450</v>
      </c>
      <c r="AA2305" s="3">
        <v>115</v>
      </c>
      <c r="AB2305" s="5">
        <v>166750</v>
      </c>
      <c r="AC2305" s="1">
        <v>1450</v>
      </c>
      <c r="AD2305">
        <v>115</v>
      </c>
      <c r="AE2305" s="1">
        <v>166750</v>
      </c>
      <c r="AF2305">
        <v>58</v>
      </c>
      <c r="AJ2305">
        <v>0</v>
      </c>
      <c r="AK2305">
        <v>0</v>
      </c>
      <c r="AL2305">
        <v>0</v>
      </c>
      <c r="AM2305">
        <v>0</v>
      </c>
      <c r="AN2305">
        <v>0</v>
      </c>
      <c r="AO2305">
        <v>0</v>
      </c>
      <c r="AP2305" s="2">
        <v>42831</v>
      </c>
      <c r="AQ2305" t="s">
        <v>72</v>
      </c>
      <c r="AR2305" t="s">
        <v>72</v>
      </c>
      <c r="AS2305">
        <v>709</v>
      </c>
      <c r="AT2305" s="4">
        <v>42797</v>
      </c>
      <c r="AU2305" t="s">
        <v>73</v>
      </c>
      <c r="AV2305">
        <v>709</v>
      </c>
      <c r="AW2305" s="4">
        <v>42797</v>
      </c>
      <c r="BB2305">
        <v>58</v>
      </c>
      <c r="BD2305">
        <v>0</v>
      </c>
      <c r="BN2305" t="s">
        <v>74</v>
      </c>
    </row>
    <row r="2306" spans="1:66">
      <c r="A2306">
        <v>106535</v>
      </c>
      <c r="B2306" t="s">
        <v>486</v>
      </c>
      <c r="C2306" s="1">
        <v>43300101</v>
      </c>
      <c r="D2306" t="s">
        <v>67</v>
      </c>
      <c r="H2306" t="str">
        <f t="shared" si="299"/>
        <v>08862820969</v>
      </c>
      <c r="I2306" t="str">
        <f t="shared" si="299"/>
        <v>08862820969</v>
      </c>
      <c r="K2306" t="str">
        <f>""</f>
        <v/>
      </c>
      <c r="M2306" t="s">
        <v>68</v>
      </c>
      <c r="N2306" t="str">
        <f t="shared" si="300"/>
        <v>FOR</v>
      </c>
      <c r="O2306" t="s">
        <v>69</v>
      </c>
      <c r="P2306" t="s">
        <v>75</v>
      </c>
      <c r="Q2306">
        <v>2016</v>
      </c>
      <c r="R2306" s="4">
        <v>42622</v>
      </c>
      <c r="S2306" s="2">
        <v>42627</v>
      </c>
      <c r="T2306" s="2">
        <v>42622</v>
      </c>
      <c r="U2306" s="4">
        <v>42682</v>
      </c>
      <c r="V2306" t="s">
        <v>71</v>
      </c>
      <c r="W2306" t="str">
        <f>"          2016108419"</f>
        <v xml:space="preserve">          2016108419</v>
      </c>
      <c r="X2306" s="1">
        <v>1508</v>
      </c>
      <c r="Y2306">
        <v>0</v>
      </c>
      <c r="Z2306" s="5">
        <v>1450</v>
      </c>
      <c r="AA2306" s="3">
        <v>115</v>
      </c>
      <c r="AB2306" s="5">
        <v>166750</v>
      </c>
      <c r="AC2306" s="1">
        <v>1450</v>
      </c>
      <c r="AD2306">
        <v>115</v>
      </c>
      <c r="AE2306" s="1">
        <v>166750</v>
      </c>
      <c r="AF2306">
        <v>58</v>
      </c>
      <c r="AJ2306">
        <v>0</v>
      </c>
      <c r="AK2306">
        <v>0</v>
      </c>
      <c r="AL2306">
        <v>0</v>
      </c>
      <c r="AM2306">
        <v>0</v>
      </c>
      <c r="AN2306">
        <v>0</v>
      </c>
      <c r="AO2306">
        <v>0</v>
      </c>
      <c r="AP2306" s="2">
        <v>42831</v>
      </c>
      <c r="AQ2306" t="s">
        <v>72</v>
      </c>
      <c r="AR2306" t="s">
        <v>72</v>
      </c>
      <c r="AS2306">
        <v>709</v>
      </c>
      <c r="AT2306" s="4">
        <v>42797</v>
      </c>
      <c r="AU2306" t="s">
        <v>73</v>
      </c>
      <c r="AV2306">
        <v>709</v>
      </c>
      <c r="AW2306" s="4">
        <v>42797</v>
      </c>
      <c r="BB2306">
        <v>58</v>
      </c>
      <c r="BD2306">
        <v>0</v>
      </c>
      <c r="BN2306" t="s">
        <v>74</v>
      </c>
    </row>
    <row r="2307" spans="1:66">
      <c r="A2307">
        <v>106535</v>
      </c>
      <c r="B2307" t="s">
        <v>486</v>
      </c>
      <c r="C2307" s="1">
        <v>43300101</v>
      </c>
      <c r="D2307" t="s">
        <v>67</v>
      </c>
      <c r="H2307" t="str">
        <f t="shared" ref="H2307:I2315" si="301">"08862820969"</f>
        <v>08862820969</v>
      </c>
      <c r="I2307" t="str">
        <f t="shared" si="301"/>
        <v>08862820969</v>
      </c>
      <c r="K2307" t="str">
        <f>""</f>
        <v/>
      </c>
      <c r="M2307" t="s">
        <v>68</v>
      </c>
      <c r="N2307" t="str">
        <f t="shared" si="300"/>
        <v>FOR</v>
      </c>
      <c r="O2307" t="s">
        <v>69</v>
      </c>
      <c r="P2307" t="s">
        <v>75</v>
      </c>
      <c r="Q2307">
        <v>2016</v>
      </c>
      <c r="R2307" s="4">
        <v>42622</v>
      </c>
      <c r="S2307" s="2">
        <v>42627</v>
      </c>
      <c r="T2307" s="2">
        <v>42622</v>
      </c>
      <c r="U2307" s="4">
        <v>42682</v>
      </c>
      <c r="V2307" t="s">
        <v>71</v>
      </c>
      <c r="W2307" t="str">
        <f>"          2016108420"</f>
        <v xml:space="preserve">          2016108420</v>
      </c>
      <c r="X2307" s="1">
        <v>1508</v>
      </c>
      <c r="Y2307">
        <v>0</v>
      </c>
      <c r="Z2307" s="5">
        <v>1450</v>
      </c>
      <c r="AA2307" s="3">
        <v>115</v>
      </c>
      <c r="AB2307" s="5">
        <v>166750</v>
      </c>
      <c r="AC2307" s="1">
        <v>1450</v>
      </c>
      <c r="AD2307">
        <v>115</v>
      </c>
      <c r="AE2307" s="1">
        <v>166750</v>
      </c>
      <c r="AF2307">
        <v>58</v>
      </c>
      <c r="AJ2307">
        <v>0</v>
      </c>
      <c r="AK2307">
        <v>0</v>
      </c>
      <c r="AL2307">
        <v>0</v>
      </c>
      <c r="AM2307">
        <v>0</v>
      </c>
      <c r="AN2307">
        <v>0</v>
      </c>
      <c r="AO2307">
        <v>0</v>
      </c>
      <c r="AP2307" s="2">
        <v>42831</v>
      </c>
      <c r="AQ2307" t="s">
        <v>72</v>
      </c>
      <c r="AR2307" t="s">
        <v>72</v>
      </c>
      <c r="AS2307">
        <v>709</v>
      </c>
      <c r="AT2307" s="4">
        <v>42797</v>
      </c>
      <c r="AU2307" t="s">
        <v>73</v>
      </c>
      <c r="AV2307">
        <v>709</v>
      </c>
      <c r="AW2307" s="4">
        <v>42797</v>
      </c>
      <c r="BB2307">
        <v>58</v>
      </c>
      <c r="BD2307">
        <v>0</v>
      </c>
      <c r="BN2307" t="s">
        <v>74</v>
      </c>
    </row>
    <row r="2308" spans="1:66">
      <c r="A2308">
        <v>106535</v>
      </c>
      <c r="B2308" t="s">
        <v>486</v>
      </c>
      <c r="C2308" s="1">
        <v>43300101</v>
      </c>
      <c r="D2308" t="s">
        <v>67</v>
      </c>
      <c r="H2308" t="str">
        <f t="shared" si="301"/>
        <v>08862820969</v>
      </c>
      <c r="I2308" t="str">
        <f t="shared" si="301"/>
        <v>08862820969</v>
      </c>
      <c r="K2308" t="str">
        <f>""</f>
        <v/>
      </c>
      <c r="M2308" t="s">
        <v>68</v>
      </c>
      <c r="N2308" t="str">
        <f t="shared" si="300"/>
        <v>FOR</v>
      </c>
      <c r="O2308" t="s">
        <v>69</v>
      </c>
      <c r="P2308" t="s">
        <v>75</v>
      </c>
      <c r="Q2308">
        <v>2016</v>
      </c>
      <c r="R2308" s="4">
        <v>42622</v>
      </c>
      <c r="S2308" s="2">
        <v>42627</v>
      </c>
      <c r="T2308" s="2">
        <v>42622</v>
      </c>
      <c r="U2308" s="4">
        <v>42682</v>
      </c>
      <c r="V2308" t="s">
        <v>71</v>
      </c>
      <c r="W2308" t="str">
        <f>"          2016108421"</f>
        <v xml:space="preserve">          2016108421</v>
      </c>
      <c r="X2308" s="1">
        <v>1508</v>
      </c>
      <c r="Y2308">
        <v>0</v>
      </c>
      <c r="Z2308" s="5">
        <v>1450</v>
      </c>
      <c r="AA2308" s="3">
        <v>115</v>
      </c>
      <c r="AB2308" s="5">
        <v>166750</v>
      </c>
      <c r="AC2308" s="1">
        <v>1450</v>
      </c>
      <c r="AD2308">
        <v>115</v>
      </c>
      <c r="AE2308" s="1">
        <v>166750</v>
      </c>
      <c r="AF2308">
        <v>58</v>
      </c>
      <c r="AJ2308">
        <v>0</v>
      </c>
      <c r="AK2308">
        <v>0</v>
      </c>
      <c r="AL2308">
        <v>0</v>
      </c>
      <c r="AM2308">
        <v>0</v>
      </c>
      <c r="AN2308">
        <v>0</v>
      </c>
      <c r="AO2308">
        <v>0</v>
      </c>
      <c r="AP2308" s="2">
        <v>42831</v>
      </c>
      <c r="AQ2308" t="s">
        <v>72</v>
      </c>
      <c r="AR2308" t="s">
        <v>72</v>
      </c>
      <c r="AS2308">
        <v>709</v>
      </c>
      <c r="AT2308" s="4">
        <v>42797</v>
      </c>
      <c r="AU2308" t="s">
        <v>73</v>
      </c>
      <c r="AV2308">
        <v>709</v>
      </c>
      <c r="AW2308" s="4">
        <v>42797</v>
      </c>
      <c r="BB2308">
        <v>58</v>
      </c>
      <c r="BD2308">
        <v>0</v>
      </c>
      <c r="BN2308" t="s">
        <v>74</v>
      </c>
    </row>
    <row r="2309" spans="1:66">
      <c r="A2309">
        <v>106535</v>
      </c>
      <c r="B2309" t="s">
        <v>486</v>
      </c>
      <c r="C2309" s="1">
        <v>43300101</v>
      </c>
      <c r="D2309" t="s">
        <v>67</v>
      </c>
      <c r="H2309" t="str">
        <f t="shared" si="301"/>
        <v>08862820969</v>
      </c>
      <c r="I2309" t="str">
        <f t="shared" si="301"/>
        <v>08862820969</v>
      </c>
      <c r="K2309" t="str">
        <f>""</f>
        <v/>
      </c>
      <c r="M2309" t="s">
        <v>68</v>
      </c>
      <c r="N2309" t="str">
        <f t="shared" si="300"/>
        <v>FOR</v>
      </c>
      <c r="O2309" t="s">
        <v>69</v>
      </c>
      <c r="P2309" t="s">
        <v>75</v>
      </c>
      <c r="Q2309">
        <v>2016</v>
      </c>
      <c r="R2309" s="4">
        <v>42622</v>
      </c>
      <c r="S2309" s="2">
        <v>42627</v>
      </c>
      <c r="T2309" s="2">
        <v>42622</v>
      </c>
      <c r="U2309" s="4">
        <v>42682</v>
      </c>
      <c r="V2309" t="s">
        <v>71</v>
      </c>
      <c r="W2309" t="str">
        <f>"          2016108422"</f>
        <v xml:space="preserve">          2016108422</v>
      </c>
      <c r="X2309" s="1">
        <v>1508</v>
      </c>
      <c r="Y2309">
        <v>0</v>
      </c>
      <c r="Z2309" s="5">
        <v>1450</v>
      </c>
      <c r="AA2309" s="3">
        <v>115</v>
      </c>
      <c r="AB2309" s="5">
        <v>166750</v>
      </c>
      <c r="AC2309" s="1">
        <v>1450</v>
      </c>
      <c r="AD2309">
        <v>115</v>
      </c>
      <c r="AE2309" s="1">
        <v>166750</v>
      </c>
      <c r="AF2309">
        <v>58</v>
      </c>
      <c r="AJ2309">
        <v>0</v>
      </c>
      <c r="AK2309">
        <v>0</v>
      </c>
      <c r="AL2309">
        <v>0</v>
      </c>
      <c r="AM2309">
        <v>0</v>
      </c>
      <c r="AN2309">
        <v>0</v>
      </c>
      <c r="AO2309">
        <v>0</v>
      </c>
      <c r="AP2309" s="2">
        <v>42831</v>
      </c>
      <c r="AQ2309" t="s">
        <v>72</v>
      </c>
      <c r="AR2309" t="s">
        <v>72</v>
      </c>
      <c r="AS2309">
        <v>709</v>
      </c>
      <c r="AT2309" s="4">
        <v>42797</v>
      </c>
      <c r="AU2309" t="s">
        <v>73</v>
      </c>
      <c r="AV2309">
        <v>709</v>
      </c>
      <c r="AW2309" s="4">
        <v>42797</v>
      </c>
      <c r="BB2309">
        <v>58</v>
      </c>
      <c r="BD2309">
        <v>0</v>
      </c>
      <c r="BN2309" t="s">
        <v>74</v>
      </c>
    </row>
    <row r="2310" spans="1:66">
      <c r="A2310">
        <v>106535</v>
      </c>
      <c r="B2310" t="s">
        <v>486</v>
      </c>
      <c r="C2310" s="1">
        <v>43300101</v>
      </c>
      <c r="D2310" t="s">
        <v>67</v>
      </c>
      <c r="H2310" t="str">
        <f t="shared" si="301"/>
        <v>08862820969</v>
      </c>
      <c r="I2310" t="str">
        <f t="shared" si="301"/>
        <v>08862820969</v>
      </c>
      <c r="K2310" t="str">
        <f>""</f>
        <v/>
      </c>
      <c r="M2310" t="s">
        <v>68</v>
      </c>
      <c r="N2310" t="str">
        <f t="shared" si="300"/>
        <v>FOR</v>
      </c>
      <c r="O2310" t="s">
        <v>69</v>
      </c>
      <c r="P2310" t="s">
        <v>75</v>
      </c>
      <c r="Q2310">
        <v>2016</v>
      </c>
      <c r="R2310" s="4">
        <v>42622</v>
      </c>
      <c r="S2310" s="2">
        <v>42627</v>
      </c>
      <c r="T2310" s="2">
        <v>42622</v>
      </c>
      <c r="U2310" s="4">
        <v>42682</v>
      </c>
      <c r="V2310" t="s">
        <v>71</v>
      </c>
      <c r="W2310" t="str">
        <f>"          2016108423"</f>
        <v xml:space="preserve">          2016108423</v>
      </c>
      <c r="X2310" s="1">
        <v>1372.8</v>
      </c>
      <c r="Y2310">
        <v>0</v>
      </c>
      <c r="Z2310" s="5">
        <v>1320</v>
      </c>
      <c r="AA2310" s="3">
        <v>115</v>
      </c>
      <c r="AB2310" s="5">
        <v>151800</v>
      </c>
      <c r="AC2310" s="1">
        <v>1320</v>
      </c>
      <c r="AD2310">
        <v>115</v>
      </c>
      <c r="AE2310" s="1">
        <v>151800</v>
      </c>
      <c r="AF2310">
        <v>52.8</v>
      </c>
      <c r="AJ2310">
        <v>0</v>
      </c>
      <c r="AK2310">
        <v>0</v>
      </c>
      <c r="AL2310">
        <v>0</v>
      </c>
      <c r="AM2310">
        <v>0</v>
      </c>
      <c r="AN2310">
        <v>0</v>
      </c>
      <c r="AO2310">
        <v>0</v>
      </c>
      <c r="AP2310" s="2">
        <v>42831</v>
      </c>
      <c r="AQ2310" t="s">
        <v>72</v>
      </c>
      <c r="AR2310" t="s">
        <v>72</v>
      </c>
      <c r="AS2310">
        <v>709</v>
      </c>
      <c r="AT2310" s="4">
        <v>42797</v>
      </c>
      <c r="AU2310" t="s">
        <v>73</v>
      </c>
      <c r="AV2310">
        <v>709</v>
      </c>
      <c r="AW2310" s="4">
        <v>42797</v>
      </c>
      <c r="BB2310">
        <v>52.8</v>
      </c>
      <c r="BD2310">
        <v>0</v>
      </c>
      <c r="BN2310" t="s">
        <v>74</v>
      </c>
    </row>
    <row r="2311" spans="1:66">
      <c r="A2311">
        <v>106535</v>
      </c>
      <c r="B2311" t="s">
        <v>486</v>
      </c>
      <c r="C2311" s="1">
        <v>43300101</v>
      </c>
      <c r="D2311" t="s">
        <v>67</v>
      </c>
      <c r="H2311" t="str">
        <f t="shared" si="301"/>
        <v>08862820969</v>
      </c>
      <c r="I2311" t="str">
        <f t="shared" si="301"/>
        <v>08862820969</v>
      </c>
      <c r="K2311" t="str">
        <f>""</f>
        <v/>
      </c>
      <c r="M2311" t="s">
        <v>68</v>
      </c>
      <c r="N2311" t="str">
        <f t="shared" si="300"/>
        <v>FOR</v>
      </c>
      <c r="O2311" t="s">
        <v>69</v>
      </c>
      <c r="P2311" t="s">
        <v>75</v>
      </c>
      <c r="Q2311">
        <v>2016</v>
      </c>
      <c r="R2311" s="4">
        <v>42622</v>
      </c>
      <c r="S2311" s="2">
        <v>42628</v>
      </c>
      <c r="T2311" s="2">
        <v>42622</v>
      </c>
      <c r="U2311" s="4">
        <v>42682</v>
      </c>
      <c r="V2311" t="s">
        <v>71</v>
      </c>
      <c r="W2311" t="str">
        <f>"          2016108424"</f>
        <v xml:space="preserve">          2016108424</v>
      </c>
      <c r="X2311" s="1">
        <v>1508</v>
      </c>
      <c r="Y2311">
        <v>0</v>
      </c>
      <c r="Z2311" s="5">
        <v>1450</v>
      </c>
      <c r="AA2311" s="3">
        <v>115</v>
      </c>
      <c r="AB2311" s="5">
        <v>166750</v>
      </c>
      <c r="AC2311" s="1">
        <v>1450</v>
      </c>
      <c r="AD2311">
        <v>115</v>
      </c>
      <c r="AE2311" s="1">
        <v>166750</v>
      </c>
      <c r="AF2311">
        <v>58</v>
      </c>
      <c r="AJ2311">
        <v>0</v>
      </c>
      <c r="AK2311">
        <v>0</v>
      </c>
      <c r="AL2311">
        <v>0</v>
      </c>
      <c r="AM2311">
        <v>0</v>
      </c>
      <c r="AN2311">
        <v>0</v>
      </c>
      <c r="AO2311">
        <v>0</v>
      </c>
      <c r="AP2311" s="2">
        <v>42831</v>
      </c>
      <c r="AQ2311" t="s">
        <v>72</v>
      </c>
      <c r="AR2311" t="s">
        <v>72</v>
      </c>
      <c r="AS2311">
        <v>709</v>
      </c>
      <c r="AT2311" s="4">
        <v>42797</v>
      </c>
      <c r="AU2311" t="s">
        <v>73</v>
      </c>
      <c r="AV2311">
        <v>709</v>
      </c>
      <c r="AW2311" s="4">
        <v>42797</v>
      </c>
      <c r="BB2311">
        <v>58</v>
      </c>
      <c r="BD2311">
        <v>0</v>
      </c>
      <c r="BN2311" t="s">
        <v>74</v>
      </c>
    </row>
    <row r="2312" spans="1:66">
      <c r="A2312">
        <v>106535</v>
      </c>
      <c r="B2312" t="s">
        <v>486</v>
      </c>
      <c r="C2312" s="1">
        <v>43300101</v>
      </c>
      <c r="D2312" t="s">
        <v>67</v>
      </c>
      <c r="H2312" t="str">
        <f t="shared" si="301"/>
        <v>08862820969</v>
      </c>
      <c r="I2312" t="str">
        <f t="shared" si="301"/>
        <v>08862820969</v>
      </c>
      <c r="K2312" t="str">
        <f>""</f>
        <v/>
      </c>
      <c r="M2312" t="s">
        <v>68</v>
      </c>
      <c r="N2312" t="str">
        <f t="shared" si="300"/>
        <v>FOR</v>
      </c>
      <c r="O2312" t="s">
        <v>69</v>
      </c>
      <c r="P2312" t="s">
        <v>75</v>
      </c>
      <c r="Q2312">
        <v>2016</v>
      </c>
      <c r="R2312" s="4">
        <v>42622</v>
      </c>
      <c r="S2312" s="2">
        <v>42628</v>
      </c>
      <c r="T2312" s="2">
        <v>42622</v>
      </c>
      <c r="U2312" s="4">
        <v>42682</v>
      </c>
      <c r="V2312" t="s">
        <v>71</v>
      </c>
      <c r="W2312" t="str">
        <f>"          2016108425"</f>
        <v xml:space="preserve">          2016108425</v>
      </c>
      <c r="X2312" s="1">
        <v>1372.8</v>
      </c>
      <c r="Y2312">
        <v>0</v>
      </c>
      <c r="Z2312" s="5">
        <v>1320</v>
      </c>
      <c r="AA2312" s="3">
        <v>115</v>
      </c>
      <c r="AB2312" s="5">
        <v>151800</v>
      </c>
      <c r="AC2312" s="1">
        <v>1320</v>
      </c>
      <c r="AD2312">
        <v>115</v>
      </c>
      <c r="AE2312" s="1">
        <v>151800</v>
      </c>
      <c r="AF2312">
        <v>52.8</v>
      </c>
      <c r="AJ2312">
        <v>0</v>
      </c>
      <c r="AK2312">
        <v>0</v>
      </c>
      <c r="AL2312">
        <v>0</v>
      </c>
      <c r="AM2312">
        <v>0</v>
      </c>
      <c r="AN2312">
        <v>0</v>
      </c>
      <c r="AO2312">
        <v>0</v>
      </c>
      <c r="AP2312" s="2">
        <v>42831</v>
      </c>
      <c r="AQ2312" t="s">
        <v>72</v>
      </c>
      <c r="AR2312" t="s">
        <v>72</v>
      </c>
      <c r="AS2312">
        <v>709</v>
      </c>
      <c r="AT2312" s="4">
        <v>42797</v>
      </c>
      <c r="AU2312" t="s">
        <v>73</v>
      </c>
      <c r="AV2312">
        <v>709</v>
      </c>
      <c r="AW2312" s="4">
        <v>42797</v>
      </c>
      <c r="BB2312">
        <v>52.8</v>
      </c>
      <c r="BD2312">
        <v>0</v>
      </c>
      <c r="BN2312" t="s">
        <v>74</v>
      </c>
    </row>
    <row r="2313" spans="1:66">
      <c r="A2313">
        <v>106535</v>
      </c>
      <c r="B2313" t="s">
        <v>486</v>
      </c>
      <c r="C2313" s="1">
        <v>43300101</v>
      </c>
      <c r="D2313" t="s">
        <v>67</v>
      </c>
      <c r="H2313" t="str">
        <f t="shared" si="301"/>
        <v>08862820969</v>
      </c>
      <c r="I2313" t="str">
        <f t="shared" si="301"/>
        <v>08862820969</v>
      </c>
      <c r="K2313" t="str">
        <f>""</f>
        <v/>
      </c>
      <c r="M2313" t="s">
        <v>68</v>
      </c>
      <c r="N2313" t="str">
        <f t="shared" si="300"/>
        <v>FOR</v>
      </c>
      <c r="O2313" t="s">
        <v>69</v>
      </c>
      <c r="P2313" t="s">
        <v>70</v>
      </c>
      <c r="Q2313">
        <v>2016</v>
      </c>
      <c r="R2313" s="4">
        <v>42622</v>
      </c>
      <c r="S2313" s="2">
        <v>42640</v>
      </c>
      <c r="T2313" s="2">
        <v>42640</v>
      </c>
      <c r="U2313" s="4">
        <v>42700</v>
      </c>
      <c r="V2313" t="s">
        <v>71</v>
      </c>
      <c r="W2313" t="str">
        <f>"          2016108426"</f>
        <v xml:space="preserve">          2016108426</v>
      </c>
      <c r="X2313" s="1">
        <v>1508</v>
      </c>
      <c r="Y2313">
        <v>0</v>
      </c>
      <c r="Z2313" s="5">
        <v>1450</v>
      </c>
      <c r="AA2313" s="3">
        <v>97</v>
      </c>
      <c r="AB2313" s="5">
        <v>140650</v>
      </c>
      <c r="AC2313" s="1">
        <v>1450</v>
      </c>
      <c r="AD2313">
        <v>97</v>
      </c>
      <c r="AE2313" s="1">
        <v>140650</v>
      </c>
      <c r="AF2313">
        <v>58</v>
      </c>
      <c r="AJ2313">
        <v>0</v>
      </c>
      <c r="AK2313">
        <v>0</v>
      </c>
      <c r="AL2313">
        <v>0</v>
      </c>
      <c r="AM2313">
        <v>0</v>
      </c>
      <c r="AN2313">
        <v>0</v>
      </c>
      <c r="AO2313">
        <v>0</v>
      </c>
      <c r="AP2313" s="2">
        <v>42831</v>
      </c>
      <c r="AQ2313" t="s">
        <v>72</v>
      </c>
      <c r="AR2313" t="s">
        <v>72</v>
      </c>
      <c r="AS2313">
        <v>709</v>
      </c>
      <c r="AT2313" s="4">
        <v>42797</v>
      </c>
      <c r="AU2313" t="s">
        <v>73</v>
      </c>
      <c r="AV2313">
        <v>709</v>
      </c>
      <c r="AW2313" s="4">
        <v>42797</v>
      </c>
      <c r="BB2313">
        <v>58</v>
      </c>
      <c r="BD2313">
        <v>0</v>
      </c>
      <c r="BN2313" t="s">
        <v>74</v>
      </c>
    </row>
    <row r="2314" spans="1:66">
      <c r="A2314">
        <v>106535</v>
      </c>
      <c r="B2314" t="s">
        <v>486</v>
      </c>
      <c r="C2314" s="1">
        <v>43300101</v>
      </c>
      <c r="D2314" t="s">
        <v>67</v>
      </c>
      <c r="H2314" t="str">
        <f t="shared" si="301"/>
        <v>08862820969</v>
      </c>
      <c r="I2314" t="str">
        <f t="shared" si="301"/>
        <v>08862820969</v>
      </c>
      <c r="K2314" t="str">
        <f>""</f>
        <v/>
      </c>
      <c r="M2314" t="s">
        <v>68</v>
      </c>
      <c r="N2314" t="str">
        <f t="shared" si="300"/>
        <v>FOR</v>
      </c>
      <c r="O2314" t="s">
        <v>69</v>
      </c>
      <c r="P2314" t="s">
        <v>75</v>
      </c>
      <c r="Q2314">
        <v>2016</v>
      </c>
      <c r="R2314" s="4">
        <v>42622</v>
      </c>
      <c r="S2314" s="2">
        <v>42628</v>
      </c>
      <c r="T2314" s="2">
        <v>42622</v>
      </c>
      <c r="U2314" s="4">
        <v>42682</v>
      </c>
      <c r="V2314" t="s">
        <v>71</v>
      </c>
      <c r="W2314" t="str">
        <f>"          2016108427"</f>
        <v xml:space="preserve">          2016108427</v>
      </c>
      <c r="X2314">
        <v>509.96</v>
      </c>
      <c r="Y2314">
        <v>0</v>
      </c>
      <c r="Z2314" s="5">
        <v>418</v>
      </c>
      <c r="AA2314" s="3">
        <v>115</v>
      </c>
      <c r="AB2314" s="5">
        <v>48070</v>
      </c>
      <c r="AC2314">
        <v>418</v>
      </c>
      <c r="AD2314">
        <v>115</v>
      </c>
      <c r="AE2314" s="1">
        <v>48070</v>
      </c>
      <c r="AF2314">
        <v>91.96</v>
      </c>
      <c r="AJ2314">
        <v>0</v>
      </c>
      <c r="AK2314">
        <v>0</v>
      </c>
      <c r="AL2314">
        <v>0</v>
      </c>
      <c r="AM2314">
        <v>0</v>
      </c>
      <c r="AN2314">
        <v>0</v>
      </c>
      <c r="AO2314">
        <v>0</v>
      </c>
      <c r="AP2314" s="2">
        <v>42831</v>
      </c>
      <c r="AQ2314" t="s">
        <v>72</v>
      </c>
      <c r="AR2314" t="s">
        <v>72</v>
      </c>
      <c r="AS2314">
        <v>709</v>
      </c>
      <c r="AT2314" s="4">
        <v>42797</v>
      </c>
      <c r="AU2314" t="s">
        <v>73</v>
      </c>
      <c r="AV2314">
        <v>709</v>
      </c>
      <c r="AW2314" s="4">
        <v>42797</v>
      </c>
      <c r="BB2314">
        <v>91.96</v>
      </c>
      <c r="BD2314">
        <v>0</v>
      </c>
      <c r="BN2314" t="s">
        <v>74</v>
      </c>
    </row>
    <row r="2315" spans="1:66">
      <c r="A2315">
        <v>106535</v>
      </c>
      <c r="B2315" t="s">
        <v>486</v>
      </c>
      <c r="C2315" s="1">
        <v>43300101</v>
      </c>
      <c r="D2315" t="s">
        <v>67</v>
      </c>
      <c r="H2315" t="str">
        <f t="shared" si="301"/>
        <v>08862820969</v>
      </c>
      <c r="I2315" t="str">
        <f t="shared" si="301"/>
        <v>08862820969</v>
      </c>
      <c r="K2315" t="str">
        <f>""</f>
        <v/>
      </c>
      <c r="M2315" t="s">
        <v>68</v>
      </c>
      <c r="N2315" t="str">
        <f t="shared" si="300"/>
        <v>FOR</v>
      </c>
      <c r="O2315" t="s">
        <v>69</v>
      </c>
      <c r="P2315" t="s">
        <v>75</v>
      </c>
      <c r="Q2315">
        <v>2016</v>
      </c>
      <c r="R2315" s="4">
        <v>42635</v>
      </c>
      <c r="S2315" s="2">
        <v>42642</v>
      </c>
      <c r="T2315" s="2">
        <v>42635</v>
      </c>
      <c r="U2315" s="4">
        <v>42695</v>
      </c>
      <c r="V2315" t="s">
        <v>71</v>
      </c>
      <c r="W2315" t="str">
        <f>"          2016108762"</f>
        <v xml:space="preserve">          2016108762</v>
      </c>
      <c r="X2315">
        <v>185.44</v>
      </c>
      <c r="Y2315">
        <v>0</v>
      </c>
      <c r="Z2315" s="5">
        <v>152</v>
      </c>
      <c r="AA2315" s="3">
        <v>102</v>
      </c>
      <c r="AB2315" s="5">
        <v>15504</v>
      </c>
      <c r="AC2315">
        <v>152</v>
      </c>
      <c r="AD2315">
        <v>102</v>
      </c>
      <c r="AE2315" s="1">
        <v>15504</v>
      </c>
      <c r="AF2315">
        <v>33.44</v>
      </c>
      <c r="AJ2315">
        <v>0</v>
      </c>
      <c r="AK2315">
        <v>0</v>
      </c>
      <c r="AL2315">
        <v>0</v>
      </c>
      <c r="AM2315">
        <v>0</v>
      </c>
      <c r="AN2315">
        <v>0</v>
      </c>
      <c r="AO2315">
        <v>0</v>
      </c>
      <c r="AP2315" s="2">
        <v>42831</v>
      </c>
      <c r="AQ2315" t="s">
        <v>72</v>
      </c>
      <c r="AR2315" t="s">
        <v>72</v>
      </c>
      <c r="AS2315">
        <v>709</v>
      </c>
      <c r="AT2315" s="4">
        <v>42797</v>
      </c>
      <c r="AU2315" t="s">
        <v>73</v>
      </c>
      <c r="AV2315">
        <v>709</v>
      </c>
      <c r="AW2315" s="4">
        <v>42797</v>
      </c>
      <c r="BB2315">
        <v>33.44</v>
      </c>
      <c r="BD2315">
        <v>0</v>
      </c>
      <c r="BN2315" t="s">
        <v>74</v>
      </c>
    </row>
    <row r="2316" spans="1:66">
      <c r="A2316">
        <v>106536</v>
      </c>
      <c r="B2316" t="s">
        <v>487</v>
      </c>
      <c r="C2316" s="1">
        <v>43300101</v>
      </c>
      <c r="D2316" t="s">
        <v>67</v>
      </c>
      <c r="H2316" t="str">
        <f>"02924650134"</f>
        <v>02924650134</v>
      </c>
      <c r="I2316" t="str">
        <f>"02924650134"</f>
        <v>02924650134</v>
      </c>
      <c r="K2316" t="str">
        <f>""</f>
        <v/>
      </c>
      <c r="M2316" t="s">
        <v>68</v>
      </c>
      <c r="N2316" t="str">
        <f t="shared" si="300"/>
        <v>FOR</v>
      </c>
      <c r="O2316" t="s">
        <v>69</v>
      </c>
      <c r="P2316" t="s">
        <v>75</v>
      </c>
      <c r="Q2316">
        <v>2016</v>
      </c>
      <c r="R2316" s="4">
        <v>42490</v>
      </c>
      <c r="S2316" s="2">
        <v>42500</v>
      </c>
      <c r="T2316" s="2">
        <v>42499</v>
      </c>
      <c r="U2316" s="4">
        <v>42559</v>
      </c>
      <c r="V2316" t="s">
        <v>71</v>
      </c>
      <c r="W2316" t="str">
        <f>"         FATTPA 3_16"</f>
        <v xml:space="preserve">         FATTPA 3_16</v>
      </c>
      <c r="X2316" s="1">
        <v>3928.4</v>
      </c>
      <c r="Y2316">
        <v>0</v>
      </c>
      <c r="Z2316" s="5">
        <v>3220</v>
      </c>
      <c r="AA2316" s="3">
        <v>215</v>
      </c>
      <c r="AB2316" s="5">
        <v>692300</v>
      </c>
      <c r="AC2316" s="1">
        <v>3220</v>
      </c>
      <c r="AD2316">
        <v>215</v>
      </c>
      <c r="AE2316" s="1">
        <v>692300</v>
      </c>
      <c r="AF2316">
        <v>0</v>
      </c>
      <c r="AJ2316">
        <v>0</v>
      </c>
      <c r="AK2316">
        <v>0</v>
      </c>
      <c r="AL2316">
        <v>0</v>
      </c>
      <c r="AM2316">
        <v>0</v>
      </c>
      <c r="AN2316">
        <v>0</v>
      </c>
      <c r="AO2316">
        <v>0</v>
      </c>
      <c r="AP2316" s="2">
        <v>42831</v>
      </c>
      <c r="AQ2316" t="s">
        <v>72</v>
      </c>
      <c r="AR2316" t="s">
        <v>72</v>
      </c>
      <c r="AS2316">
        <v>326</v>
      </c>
      <c r="AT2316" s="4">
        <v>42774</v>
      </c>
      <c r="AU2316" t="s">
        <v>73</v>
      </c>
      <c r="AV2316">
        <v>326</v>
      </c>
      <c r="AW2316" s="4">
        <v>42774</v>
      </c>
      <c r="BD2316">
        <v>0</v>
      </c>
      <c r="BN2316" t="s">
        <v>74</v>
      </c>
    </row>
    <row r="2317" spans="1:66" hidden="1">
      <c r="A2317">
        <v>106539</v>
      </c>
      <c r="B2317" t="s">
        <v>488</v>
      </c>
      <c r="C2317" s="1">
        <v>43500101</v>
      </c>
      <c r="D2317" t="s">
        <v>98</v>
      </c>
      <c r="H2317" t="str">
        <f>"97516370588"</f>
        <v>97516370588</v>
      </c>
      <c r="I2317" t="str">
        <f>""</f>
        <v/>
      </c>
      <c r="K2317" t="str">
        <f>""</f>
        <v/>
      </c>
      <c r="M2317" t="s">
        <v>68</v>
      </c>
      <c r="N2317" t="str">
        <f>"ALT"</f>
        <v>ALT</v>
      </c>
      <c r="O2317" t="s">
        <v>99</v>
      </c>
      <c r="P2317" t="s">
        <v>82</v>
      </c>
      <c r="Q2317">
        <v>2017</v>
      </c>
      <c r="R2317" s="4">
        <v>42755</v>
      </c>
      <c r="S2317" s="2">
        <v>42755</v>
      </c>
      <c r="T2317" s="2">
        <v>42755</v>
      </c>
      <c r="U2317" s="4">
        <v>42815</v>
      </c>
      <c r="V2317" t="s">
        <v>71</v>
      </c>
      <c r="W2317" t="str">
        <f>"                0120"</f>
        <v xml:space="preserve">                0120</v>
      </c>
      <c r="X2317">
        <v>0</v>
      </c>
      <c r="Y2317">
        <v>32</v>
      </c>
      <c r="Z2317" s="3">
        <v>32</v>
      </c>
      <c r="AA2317" s="3">
        <v>-57</v>
      </c>
      <c r="AB2317" s="5">
        <v>-1824</v>
      </c>
      <c r="AC2317">
        <v>32</v>
      </c>
      <c r="AD2317">
        <v>-57</v>
      </c>
      <c r="AE2317" s="1">
        <v>-1824</v>
      </c>
      <c r="AF2317">
        <v>0</v>
      </c>
      <c r="AJ2317">
        <v>32</v>
      </c>
      <c r="AK2317">
        <v>32</v>
      </c>
      <c r="AL2317">
        <v>32</v>
      </c>
      <c r="AM2317">
        <v>32</v>
      </c>
      <c r="AN2317">
        <v>32</v>
      </c>
      <c r="AO2317">
        <v>32</v>
      </c>
      <c r="AP2317" s="2">
        <v>42831</v>
      </c>
      <c r="AQ2317" t="s">
        <v>72</v>
      </c>
      <c r="AR2317" t="s">
        <v>72</v>
      </c>
      <c r="AS2317">
        <v>82</v>
      </c>
      <c r="AT2317" s="4">
        <v>42758</v>
      </c>
      <c r="AV2317">
        <v>82</v>
      </c>
      <c r="AW2317" s="4">
        <v>42758</v>
      </c>
      <c r="BD2317">
        <v>0</v>
      </c>
      <c r="BN2317" t="s">
        <v>74</v>
      </c>
    </row>
    <row r="2318" spans="1:66" hidden="1">
      <c r="A2318">
        <v>106539</v>
      </c>
      <c r="B2318" t="s">
        <v>488</v>
      </c>
      <c r="C2318" s="1">
        <v>43500101</v>
      </c>
      <c r="D2318" t="s">
        <v>98</v>
      </c>
      <c r="H2318" t="str">
        <f>"97516370588"</f>
        <v>97516370588</v>
      </c>
      <c r="I2318" t="str">
        <f>""</f>
        <v/>
      </c>
      <c r="K2318" t="str">
        <f>""</f>
        <v/>
      </c>
      <c r="M2318" t="s">
        <v>68</v>
      </c>
      <c r="N2318" t="str">
        <f>"ALT"</f>
        <v>ALT</v>
      </c>
      <c r="O2318" t="s">
        <v>99</v>
      </c>
      <c r="P2318" t="s">
        <v>83</v>
      </c>
      <c r="Q2318">
        <v>2017</v>
      </c>
      <c r="R2318" s="4">
        <v>42786</v>
      </c>
      <c r="S2318" s="2">
        <v>42787</v>
      </c>
      <c r="T2318" s="2">
        <v>42787</v>
      </c>
      <c r="U2318" s="4">
        <v>42847</v>
      </c>
      <c r="V2318" t="s">
        <v>71</v>
      </c>
      <c r="W2318" t="str">
        <f>"                0220"</f>
        <v xml:space="preserve">                0220</v>
      </c>
      <c r="X2318">
        <v>0</v>
      </c>
      <c r="Y2318">
        <v>32</v>
      </c>
      <c r="Z2318" s="3">
        <v>32</v>
      </c>
      <c r="AA2318" s="3">
        <v>-60</v>
      </c>
      <c r="AB2318" s="5">
        <v>-1920</v>
      </c>
      <c r="AC2318">
        <v>32</v>
      </c>
      <c r="AD2318">
        <v>-60</v>
      </c>
      <c r="AE2318" s="1">
        <v>-1920</v>
      </c>
      <c r="AF2318">
        <v>0</v>
      </c>
      <c r="AJ2318">
        <v>32</v>
      </c>
      <c r="AK2318">
        <v>32</v>
      </c>
      <c r="AL2318">
        <v>32</v>
      </c>
      <c r="AM2318">
        <v>32</v>
      </c>
      <c r="AN2318">
        <v>32</v>
      </c>
      <c r="AO2318">
        <v>32</v>
      </c>
      <c r="AP2318" s="2">
        <v>42831</v>
      </c>
      <c r="AQ2318" t="s">
        <v>72</v>
      </c>
      <c r="AR2318" t="s">
        <v>72</v>
      </c>
      <c r="AS2318">
        <v>562</v>
      </c>
      <c r="AT2318" s="4">
        <v>42787</v>
      </c>
      <c r="AV2318">
        <v>562</v>
      </c>
      <c r="AW2318" s="4">
        <v>42787</v>
      </c>
      <c r="BD2318">
        <v>0</v>
      </c>
      <c r="BN2318" t="s">
        <v>74</v>
      </c>
    </row>
    <row r="2319" spans="1:66" hidden="1">
      <c r="A2319">
        <v>106539</v>
      </c>
      <c r="B2319" t="s">
        <v>488</v>
      </c>
      <c r="C2319" s="1">
        <v>43500101</v>
      </c>
      <c r="D2319" t="s">
        <v>98</v>
      </c>
      <c r="H2319" t="str">
        <f>"97516370588"</f>
        <v>97516370588</v>
      </c>
      <c r="I2319" t="str">
        <f>""</f>
        <v/>
      </c>
      <c r="K2319" t="str">
        <f>""</f>
        <v/>
      </c>
      <c r="M2319" t="s">
        <v>68</v>
      </c>
      <c r="N2319" t="str">
        <f>"ALT"</f>
        <v>ALT</v>
      </c>
      <c r="O2319" t="s">
        <v>99</v>
      </c>
      <c r="P2319" t="s">
        <v>84</v>
      </c>
      <c r="Q2319">
        <v>2017</v>
      </c>
      <c r="R2319" s="4">
        <v>42815</v>
      </c>
      <c r="S2319" s="2">
        <v>42815</v>
      </c>
      <c r="T2319" s="2">
        <v>42815</v>
      </c>
      <c r="U2319" s="4">
        <v>42875</v>
      </c>
      <c r="V2319" t="s">
        <v>71</v>
      </c>
      <c r="W2319" t="str">
        <f>"                0321"</f>
        <v xml:space="preserve">                0321</v>
      </c>
      <c r="X2319">
        <v>0</v>
      </c>
      <c r="Y2319">
        <v>32</v>
      </c>
      <c r="Z2319" s="3">
        <v>32</v>
      </c>
      <c r="AA2319" s="3">
        <v>-60</v>
      </c>
      <c r="AB2319" s="5">
        <v>-1920</v>
      </c>
      <c r="AC2319">
        <v>32</v>
      </c>
      <c r="AD2319">
        <v>-60</v>
      </c>
      <c r="AE2319" s="1">
        <v>-1920</v>
      </c>
      <c r="AF2319">
        <v>0</v>
      </c>
      <c r="AJ2319">
        <v>32</v>
      </c>
      <c r="AK2319">
        <v>32</v>
      </c>
      <c r="AL2319">
        <v>32</v>
      </c>
      <c r="AM2319">
        <v>32</v>
      </c>
      <c r="AN2319">
        <v>32</v>
      </c>
      <c r="AO2319">
        <v>32</v>
      </c>
      <c r="AP2319" s="2">
        <v>42831</v>
      </c>
      <c r="AQ2319" t="s">
        <v>72</v>
      </c>
      <c r="AR2319" t="s">
        <v>72</v>
      </c>
      <c r="AS2319">
        <v>859</v>
      </c>
      <c r="AT2319" s="4">
        <v>42815</v>
      </c>
      <c r="AV2319">
        <v>859</v>
      </c>
      <c r="AW2319" s="4">
        <v>42815</v>
      </c>
      <c r="BD2319">
        <v>0</v>
      </c>
      <c r="BN2319" t="s">
        <v>74</v>
      </c>
    </row>
    <row r="2320" spans="1:66">
      <c r="A2320">
        <v>106548</v>
      </c>
      <c r="B2320" t="s">
        <v>489</v>
      </c>
      <c r="C2320" s="1">
        <v>43300101</v>
      </c>
      <c r="D2320" t="s">
        <v>67</v>
      </c>
      <c r="H2320" t="str">
        <f>"02789580590"</f>
        <v>02789580590</v>
      </c>
      <c r="I2320" t="str">
        <f>"02789580590"</f>
        <v>02789580590</v>
      </c>
      <c r="K2320" t="str">
        <f>""</f>
        <v/>
      </c>
      <c r="M2320" t="s">
        <v>68</v>
      </c>
      <c r="N2320" t="str">
        <f t="shared" ref="N2320:N2340" si="302">"FOR"</f>
        <v>FOR</v>
      </c>
      <c r="O2320" t="s">
        <v>69</v>
      </c>
      <c r="P2320" t="s">
        <v>75</v>
      </c>
      <c r="Q2320">
        <v>2016</v>
      </c>
      <c r="R2320" s="4">
        <v>42445</v>
      </c>
      <c r="S2320" s="2">
        <v>42447</v>
      </c>
      <c r="T2320" s="2">
        <v>42446</v>
      </c>
      <c r="U2320" s="4">
        <v>42506</v>
      </c>
      <c r="V2320" t="s">
        <v>71</v>
      </c>
      <c r="W2320" t="str">
        <f>"          S16F004068"</f>
        <v xml:space="preserve">          S16F004068</v>
      </c>
      <c r="X2320">
        <v>359.7</v>
      </c>
      <c r="Y2320">
        <v>0</v>
      </c>
      <c r="Z2320" s="5">
        <v>327</v>
      </c>
      <c r="AA2320" s="3">
        <v>262</v>
      </c>
      <c r="AB2320" s="5">
        <v>85674</v>
      </c>
      <c r="AC2320">
        <v>327</v>
      </c>
      <c r="AD2320">
        <v>262</v>
      </c>
      <c r="AE2320" s="1">
        <v>85674</v>
      </c>
      <c r="AF2320">
        <v>0</v>
      </c>
      <c r="AJ2320">
        <v>0</v>
      </c>
      <c r="AK2320">
        <v>0</v>
      </c>
      <c r="AL2320">
        <v>0</v>
      </c>
      <c r="AM2320">
        <v>0</v>
      </c>
      <c r="AN2320">
        <v>0</v>
      </c>
      <c r="AO2320">
        <v>0</v>
      </c>
      <c r="AP2320" s="2">
        <v>42831</v>
      </c>
      <c r="AQ2320" t="s">
        <v>72</v>
      </c>
      <c r="AR2320" t="s">
        <v>72</v>
      </c>
      <c r="AS2320">
        <v>228</v>
      </c>
      <c r="AT2320" s="4">
        <v>42768</v>
      </c>
      <c r="AU2320" t="s">
        <v>73</v>
      </c>
      <c r="AV2320">
        <v>228</v>
      </c>
      <c r="AW2320" s="4">
        <v>42768</v>
      </c>
      <c r="BD2320">
        <v>0</v>
      </c>
      <c r="BN2320" t="s">
        <v>74</v>
      </c>
    </row>
    <row r="2321" spans="1:66">
      <c r="A2321">
        <v>106548</v>
      </c>
      <c r="B2321" t="s">
        <v>489</v>
      </c>
      <c r="C2321" s="1">
        <v>43300101</v>
      </c>
      <c r="D2321" t="s">
        <v>67</v>
      </c>
      <c r="H2321" t="str">
        <f>"02789580590"</f>
        <v>02789580590</v>
      </c>
      <c r="I2321" t="str">
        <f>"02789580590"</f>
        <v>02789580590</v>
      </c>
      <c r="K2321" t="str">
        <f>""</f>
        <v/>
      </c>
      <c r="M2321" t="s">
        <v>68</v>
      </c>
      <c r="N2321" t="str">
        <f t="shared" si="302"/>
        <v>FOR</v>
      </c>
      <c r="O2321" t="s">
        <v>69</v>
      </c>
      <c r="P2321" t="s">
        <v>75</v>
      </c>
      <c r="Q2321">
        <v>2016</v>
      </c>
      <c r="R2321" s="4">
        <v>42531</v>
      </c>
      <c r="S2321" s="2">
        <v>42542</v>
      </c>
      <c r="T2321" s="2">
        <v>42538</v>
      </c>
      <c r="U2321" s="4">
        <v>42598</v>
      </c>
      <c r="V2321" t="s">
        <v>71</v>
      </c>
      <c r="W2321" t="str">
        <f>"          S16F009417"</f>
        <v xml:space="preserve">          S16F009417</v>
      </c>
      <c r="X2321">
        <v>417.45</v>
      </c>
      <c r="Y2321">
        <v>0</v>
      </c>
      <c r="Z2321" s="5">
        <v>379.5</v>
      </c>
      <c r="AA2321" s="3">
        <v>170</v>
      </c>
      <c r="AB2321" s="5">
        <v>64515</v>
      </c>
      <c r="AC2321">
        <v>379.5</v>
      </c>
      <c r="AD2321">
        <v>170</v>
      </c>
      <c r="AE2321" s="1">
        <v>64515</v>
      </c>
      <c r="AF2321">
        <v>0</v>
      </c>
      <c r="AJ2321">
        <v>0</v>
      </c>
      <c r="AK2321">
        <v>0</v>
      </c>
      <c r="AL2321">
        <v>0</v>
      </c>
      <c r="AM2321">
        <v>0</v>
      </c>
      <c r="AN2321">
        <v>0</v>
      </c>
      <c r="AO2321">
        <v>0</v>
      </c>
      <c r="AP2321" s="2">
        <v>42831</v>
      </c>
      <c r="AQ2321" t="s">
        <v>72</v>
      </c>
      <c r="AR2321" t="s">
        <v>72</v>
      </c>
      <c r="AS2321">
        <v>228</v>
      </c>
      <c r="AT2321" s="4">
        <v>42768</v>
      </c>
      <c r="AU2321" t="s">
        <v>73</v>
      </c>
      <c r="AV2321">
        <v>228</v>
      </c>
      <c r="AW2321" s="4">
        <v>42768</v>
      </c>
      <c r="BD2321">
        <v>0</v>
      </c>
      <c r="BN2321" t="s">
        <v>74</v>
      </c>
    </row>
    <row r="2322" spans="1:66">
      <c r="A2322">
        <v>106557</v>
      </c>
      <c r="B2322" t="s">
        <v>490</v>
      </c>
      <c r="C2322" s="1">
        <v>43300101</v>
      </c>
      <c r="D2322" t="s">
        <v>67</v>
      </c>
      <c r="H2322" t="str">
        <f t="shared" ref="H2322:I2340" si="303">"01612890622"</f>
        <v>01612890622</v>
      </c>
      <c r="I2322" t="str">
        <f t="shared" si="303"/>
        <v>01612890622</v>
      </c>
      <c r="K2322" t="str">
        <f>""</f>
        <v/>
      </c>
      <c r="M2322" t="s">
        <v>68</v>
      </c>
      <c r="N2322" t="str">
        <f t="shared" si="302"/>
        <v>FOR</v>
      </c>
      <c r="O2322" t="s">
        <v>69</v>
      </c>
      <c r="P2322" t="s">
        <v>75</v>
      </c>
      <c r="Q2322">
        <v>2016</v>
      </c>
      <c r="R2322" s="4">
        <v>42521</v>
      </c>
      <c r="S2322" s="2">
        <v>42527</v>
      </c>
      <c r="T2322" s="2">
        <v>42524</v>
      </c>
      <c r="U2322" s="4">
        <v>42584</v>
      </c>
      <c r="V2322" t="s">
        <v>71</v>
      </c>
      <c r="W2322" t="str">
        <f>"               14/PA"</f>
        <v xml:space="preserve">               14/PA</v>
      </c>
      <c r="X2322">
        <v>317.2</v>
      </c>
      <c r="Y2322">
        <v>0</v>
      </c>
      <c r="Z2322" s="5">
        <v>260</v>
      </c>
      <c r="AA2322" s="3">
        <v>191</v>
      </c>
      <c r="AB2322" s="5">
        <v>49660</v>
      </c>
      <c r="AC2322">
        <v>260</v>
      </c>
      <c r="AD2322">
        <v>191</v>
      </c>
      <c r="AE2322" s="1">
        <v>49660</v>
      </c>
      <c r="AF2322">
        <v>0</v>
      </c>
      <c r="AJ2322">
        <v>0</v>
      </c>
      <c r="AK2322">
        <v>0</v>
      </c>
      <c r="AL2322">
        <v>0</v>
      </c>
      <c r="AM2322">
        <v>0</v>
      </c>
      <c r="AN2322">
        <v>0</v>
      </c>
      <c r="AO2322">
        <v>0</v>
      </c>
      <c r="AP2322" s="2">
        <v>42831</v>
      </c>
      <c r="AQ2322" t="s">
        <v>72</v>
      </c>
      <c r="AR2322" t="s">
        <v>72</v>
      </c>
      <c r="AS2322">
        <v>369</v>
      </c>
      <c r="AT2322" s="4">
        <v>42775</v>
      </c>
      <c r="AU2322" t="s">
        <v>73</v>
      </c>
      <c r="AV2322">
        <v>369</v>
      </c>
      <c r="AW2322" s="4">
        <v>42775</v>
      </c>
      <c r="BD2322">
        <v>0</v>
      </c>
      <c r="BN2322" t="s">
        <v>74</v>
      </c>
    </row>
    <row r="2323" spans="1:66">
      <c r="A2323">
        <v>106557</v>
      </c>
      <c r="B2323" t="s">
        <v>490</v>
      </c>
      <c r="C2323" s="1">
        <v>43300101</v>
      </c>
      <c r="D2323" t="s">
        <v>67</v>
      </c>
      <c r="H2323" t="str">
        <f t="shared" si="303"/>
        <v>01612890622</v>
      </c>
      <c r="I2323" t="str">
        <f t="shared" si="303"/>
        <v>01612890622</v>
      </c>
      <c r="K2323" t="str">
        <f>""</f>
        <v/>
      </c>
      <c r="M2323" t="s">
        <v>68</v>
      </c>
      <c r="N2323" t="str">
        <f t="shared" si="302"/>
        <v>FOR</v>
      </c>
      <c r="O2323" t="s">
        <v>69</v>
      </c>
      <c r="P2323" t="s">
        <v>75</v>
      </c>
      <c r="Q2323">
        <v>2016</v>
      </c>
      <c r="R2323" s="4">
        <v>42582</v>
      </c>
      <c r="S2323" s="2">
        <v>42591</v>
      </c>
      <c r="T2323" s="2">
        <v>42590</v>
      </c>
      <c r="U2323" s="4">
        <v>42650</v>
      </c>
      <c r="V2323" t="s">
        <v>71</v>
      </c>
      <c r="W2323" t="str">
        <f>"               22/PA"</f>
        <v xml:space="preserve">               22/PA</v>
      </c>
      <c r="X2323">
        <v>390.4</v>
      </c>
      <c r="Y2323">
        <v>0</v>
      </c>
      <c r="Z2323" s="5">
        <v>320</v>
      </c>
      <c r="AA2323" s="3">
        <v>122</v>
      </c>
      <c r="AB2323" s="5">
        <v>39040</v>
      </c>
      <c r="AC2323">
        <v>320</v>
      </c>
      <c r="AD2323">
        <v>122</v>
      </c>
      <c r="AE2323" s="1">
        <v>39040</v>
      </c>
      <c r="AF2323">
        <v>70.400000000000006</v>
      </c>
      <c r="AJ2323">
        <v>0</v>
      </c>
      <c r="AK2323">
        <v>0</v>
      </c>
      <c r="AL2323">
        <v>0</v>
      </c>
      <c r="AM2323">
        <v>0</v>
      </c>
      <c r="AN2323">
        <v>0</v>
      </c>
      <c r="AO2323">
        <v>0</v>
      </c>
      <c r="AP2323" s="2">
        <v>42831</v>
      </c>
      <c r="AQ2323" t="s">
        <v>72</v>
      </c>
      <c r="AR2323" t="s">
        <v>72</v>
      </c>
      <c r="AS2323">
        <v>292</v>
      </c>
      <c r="AT2323" s="4">
        <v>42772</v>
      </c>
      <c r="AU2323" t="s">
        <v>73</v>
      </c>
      <c r="AV2323">
        <v>292</v>
      </c>
      <c r="AW2323" s="4">
        <v>42772</v>
      </c>
      <c r="BC2323">
        <v>70.400000000000006</v>
      </c>
      <c r="BD2323">
        <v>0</v>
      </c>
      <c r="BN2323" t="s">
        <v>74</v>
      </c>
    </row>
    <row r="2324" spans="1:66">
      <c r="A2324">
        <v>106557</v>
      </c>
      <c r="B2324" t="s">
        <v>490</v>
      </c>
      <c r="C2324" s="1">
        <v>43300101</v>
      </c>
      <c r="D2324" t="s">
        <v>67</v>
      </c>
      <c r="H2324" t="str">
        <f t="shared" si="303"/>
        <v>01612890622</v>
      </c>
      <c r="I2324" t="str">
        <f t="shared" si="303"/>
        <v>01612890622</v>
      </c>
      <c r="K2324" t="str">
        <f>""</f>
        <v/>
      </c>
      <c r="M2324" t="s">
        <v>68</v>
      </c>
      <c r="N2324" t="str">
        <f t="shared" si="302"/>
        <v>FOR</v>
      </c>
      <c r="O2324" t="s">
        <v>69</v>
      </c>
      <c r="P2324" t="s">
        <v>75</v>
      </c>
      <c r="Q2324">
        <v>2016</v>
      </c>
      <c r="R2324" s="4">
        <v>42613</v>
      </c>
      <c r="S2324" s="2">
        <v>42619</v>
      </c>
      <c r="T2324" s="2">
        <v>42618</v>
      </c>
      <c r="U2324" s="4">
        <v>42678</v>
      </c>
      <c r="V2324" t="s">
        <v>71</v>
      </c>
      <c r="W2324" t="str">
        <f>"               23/PA"</f>
        <v xml:space="preserve">               23/PA</v>
      </c>
      <c r="X2324">
        <v>732</v>
      </c>
      <c r="Y2324">
        <v>0</v>
      </c>
      <c r="Z2324" s="5">
        <v>600</v>
      </c>
      <c r="AA2324" s="3">
        <v>97</v>
      </c>
      <c r="AB2324" s="5">
        <v>58200</v>
      </c>
      <c r="AC2324">
        <v>600</v>
      </c>
      <c r="AD2324">
        <v>97</v>
      </c>
      <c r="AE2324" s="1">
        <v>58200</v>
      </c>
      <c r="AF2324">
        <v>0</v>
      </c>
      <c r="AJ2324">
        <v>0</v>
      </c>
      <c r="AK2324">
        <v>0</v>
      </c>
      <c r="AL2324">
        <v>0</v>
      </c>
      <c r="AM2324">
        <v>0</v>
      </c>
      <c r="AN2324">
        <v>0</v>
      </c>
      <c r="AO2324">
        <v>0</v>
      </c>
      <c r="AP2324" s="2">
        <v>42831</v>
      </c>
      <c r="AQ2324" t="s">
        <v>72</v>
      </c>
      <c r="AR2324" t="s">
        <v>72</v>
      </c>
      <c r="AS2324">
        <v>369</v>
      </c>
      <c r="AT2324" s="4">
        <v>42775</v>
      </c>
      <c r="AU2324" t="s">
        <v>73</v>
      </c>
      <c r="AV2324">
        <v>369</v>
      </c>
      <c r="AW2324" s="4">
        <v>42775</v>
      </c>
      <c r="BD2324">
        <v>0</v>
      </c>
      <c r="BN2324" t="s">
        <v>74</v>
      </c>
    </row>
    <row r="2325" spans="1:66">
      <c r="A2325">
        <v>106557</v>
      </c>
      <c r="B2325" t="s">
        <v>490</v>
      </c>
      <c r="C2325" s="1">
        <v>43300101</v>
      </c>
      <c r="D2325" t="s">
        <v>67</v>
      </c>
      <c r="H2325" t="str">
        <f t="shared" si="303"/>
        <v>01612890622</v>
      </c>
      <c r="I2325" t="str">
        <f t="shared" si="303"/>
        <v>01612890622</v>
      </c>
      <c r="K2325" t="str">
        <f>""</f>
        <v/>
      </c>
      <c r="M2325" t="s">
        <v>68</v>
      </c>
      <c r="N2325" t="str">
        <f t="shared" si="302"/>
        <v>FOR</v>
      </c>
      <c r="O2325" t="s">
        <v>69</v>
      </c>
      <c r="P2325" t="s">
        <v>75</v>
      </c>
      <c r="Q2325">
        <v>2016</v>
      </c>
      <c r="R2325" s="4">
        <v>42613</v>
      </c>
      <c r="S2325" s="2">
        <v>42618</v>
      </c>
      <c r="T2325" s="2">
        <v>42618</v>
      </c>
      <c r="U2325" s="4">
        <v>42678</v>
      </c>
      <c r="V2325" t="s">
        <v>71</v>
      </c>
      <c r="W2325" t="str">
        <f>"               24/PA"</f>
        <v xml:space="preserve">               24/PA</v>
      </c>
      <c r="X2325" s="1">
        <v>1012.6</v>
      </c>
      <c r="Y2325">
        <v>0</v>
      </c>
      <c r="Z2325" s="5">
        <v>830</v>
      </c>
      <c r="AA2325" s="3">
        <v>97</v>
      </c>
      <c r="AB2325" s="5">
        <v>80510</v>
      </c>
      <c r="AC2325">
        <v>830</v>
      </c>
      <c r="AD2325">
        <v>97</v>
      </c>
      <c r="AE2325" s="1">
        <v>80510</v>
      </c>
      <c r="AF2325">
        <v>0</v>
      </c>
      <c r="AJ2325">
        <v>0</v>
      </c>
      <c r="AK2325">
        <v>0</v>
      </c>
      <c r="AL2325">
        <v>0</v>
      </c>
      <c r="AM2325">
        <v>0</v>
      </c>
      <c r="AN2325">
        <v>0</v>
      </c>
      <c r="AO2325">
        <v>0</v>
      </c>
      <c r="AP2325" s="2">
        <v>42831</v>
      </c>
      <c r="AQ2325" t="s">
        <v>72</v>
      </c>
      <c r="AR2325" t="s">
        <v>72</v>
      </c>
      <c r="AS2325">
        <v>369</v>
      </c>
      <c r="AT2325" s="4">
        <v>42775</v>
      </c>
      <c r="AU2325" t="s">
        <v>73</v>
      </c>
      <c r="AV2325">
        <v>369</v>
      </c>
      <c r="AW2325" s="4">
        <v>42775</v>
      </c>
      <c r="BD2325">
        <v>0</v>
      </c>
      <c r="BN2325" t="s">
        <v>74</v>
      </c>
    </row>
    <row r="2326" spans="1:66">
      <c r="A2326">
        <v>106557</v>
      </c>
      <c r="B2326" t="s">
        <v>490</v>
      </c>
      <c r="C2326" s="1">
        <v>43300101</v>
      </c>
      <c r="D2326" t="s">
        <v>67</v>
      </c>
      <c r="H2326" t="str">
        <f t="shared" si="303"/>
        <v>01612890622</v>
      </c>
      <c r="I2326" t="str">
        <f t="shared" si="303"/>
        <v>01612890622</v>
      </c>
      <c r="K2326" t="str">
        <f>""</f>
        <v/>
      </c>
      <c r="M2326" t="s">
        <v>68</v>
      </c>
      <c r="N2326" t="str">
        <f t="shared" si="302"/>
        <v>FOR</v>
      </c>
      <c r="O2326" t="s">
        <v>69</v>
      </c>
      <c r="P2326" t="s">
        <v>75</v>
      </c>
      <c r="Q2326">
        <v>2016</v>
      </c>
      <c r="R2326" s="4">
        <v>42613</v>
      </c>
      <c r="S2326" s="2">
        <v>42618</v>
      </c>
      <c r="T2326" s="2">
        <v>42618</v>
      </c>
      <c r="U2326" s="4">
        <v>42678</v>
      </c>
      <c r="V2326" t="s">
        <v>71</v>
      </c>
      <c r="W2326" t="str">
        <f>"               25/PA"</f>
        <v xml:space="preserve">               25/PA</v>
      </c>
      <c r="X2326">
        <v>756.4</v>
      </c>
      <c r="Y2326">
        <v>0</v>
      </c>
      <c r="Z2326" s="5">
        <v>620</v>
      </c>
      <c r="AA2326" s="3">
        <v>97</v>
      </c>
      <c r="AB2326" s="5">
        <v>60140</v>
      </c>
      <c r="AC2326">
        <v>620</v>
      </c>
      <c r="AD2326">
        <v>97</v>
      </c>
      <c r="AE2326" s="1">
        <v>60140</v>
      </c>
      <c r="AF2326">
        <v>0</v>
      </c>
      <c r="AJ2326">
        <v>0</v>
      </c>
      <c r="AK2326">
        <v>0</v>
      </c>
      <c r="AL2326">
        <v>0</v>
      </c>
      <c r="AM2326">
        <v>0</v>
      </c>
      <c r="AN2326">
        <v>0</v>
      </c>
      <c r="AO2326">
        <v>0</v>
      </c>
      <c r="AP2326" s="2">
        <v>42831</v>
      </c>
      <c r="AQ2326" t="s">
        <v>72</v>
      </c>
      <c r="AR2326" t="s">
        <v>72</v>
      </c>
      <c r="AS2326">
        <v>369</v>
      </c>
      <c r="AT2326" s="4">
        <v>42775</v>
      </c>
      <c r="AU2326" t="s">
        <v>73</v>
      </c>
      <c r="AV2326">
        <v>369</v>
      </c>
      <c r="AW2326" s="4">
        <v>42775</v>
      </c>
      <c r="BD2326">
        <v>0</v>
      </c>
      <c r="BN2326" t="s">
        <v>74</v>
      </c>
    </row>
    <row r="2327" spans="1:66">
      <c r="A2327">
        <v>106557</v>
      </c>
      <c r="B2327" t="s">
        <v>490</v>
      </c>
      <c r="C2327" s="1">
        <v>43300101</v>
      </c>
      <c r="D2327" t="s">
        <v>67</v>
      </c>
      <c r="H2327" t="str">
        <f t="shared" si="303"/>
        <v>01612890622</v>
      </c>
      <c r="I2327" t="str">
        <f t="shared" si="303"/>
        <v>01612890622</v>
      </c>
      <c r="K2327" t="str">
        <f>""</f>
        <v/>
      </c>
      <c r="M2327" t="s">
        <v>68</v>
      </c>
      <c r="N2327" t="str">
        <f t="shared" si="302"/>
        <v>FOR</v>
      </c>
      <c r="O2327" t="s">
        <v>69</v>
      </c>
      <c r="P2327" t="s">
        <v>75</v>
      </c>
      <c r="Q2327">
        <v>2016</v>
      </c>
      <c r="R2327" s="4">
        <v>42643</v>
      </c>
      <c r="S2327" s="2">
        <v>42646</v>
      </c>
      <c r="T2327" s="2">
        <v>42646</v>
      </c>
      <c r="U2327" s="4">
        <v>42706</v>
      </c>
      <c r="V2327" t="s">
        <v>71</v>
      </c>
      <c r="W2327" t="str">
        <f>"               26/PA"</f>
        <v xml:space="preserve">               26/PA</v>
      </c>
      <c r="X2327">
        <v>119.56</v>
      </c>
      <c r="Y2327">
        <v>0</v>
      </c>
      <c r="Z2327" s="5">
        <v>98</v>
      </c>
      <c r="AA2327" s="3">
        <v>66</v>
      </c>
      <c r="AB2327" s="5">
        <v>6468</v>
      </c>
      <c r="AC2327">
        <v>98</v>
      </c>
      <c r="AD2327">
        <v>66</v>
      </c>
      <c r="AE2327" s="1">
        <v>6468</v>
      </c>
      <c r="AF2327">
        <v>21.56</v>
      </c>
      <c r="AJ2327">
        <v>0</v>
      </c>
      <c r="AK2327">
        <v>0</v>
      </c>
      <c r="AL2327">
        <v>0</v>
      </c>
      <c r="AM2327">
        <v>0</v>
      </c>
      <c r="AN2327">
        <v>0</v>
      </c>
      <c r="AO2327">
        <v>0</v>
      </c>
      <c r="AP2327" s="2">
        <v>42831</v>
      </c>
      <c r="AQ2327" t="s">
        <v>72</v>
      </c>
      <c r="AR2327" t="s">
        <v>72</v>
      </c>
      <c r="AS2327">
        <v>292</v>
      </c>
      <c r="AT2327" s="4">
        <v>42772</v>
      </c>
      <c r="AU2327" t="s">
        <v>73</v>
      </c>
      <c r="AV2327">
        <v>292</v>
      </c>
      <c r="AW2327" s="4">
        <v>42772</v>
      </c>
      <c r="BA2327">
        <v>21.56</v>
      </c>
      <c r="BD2327">
        <v>0</v>
      </c>
      <c r="BN2327" t="s">
        <v>74</v>
      </c>
    </row>
    <row r="2328" spans="1:66">
      <c r="A2328">
        <v>106557</v>
      </c>
      <c r="B2328" t="s">
        <v>490</v>
      </c>
      <c r="C2328" s="1">
        <v>43300101</v>
      </c>
      <c r="D2328" t="s">
        <v>67</v>
      </c>
      <c r="H2328" t="str">
        <f t="shared" si="303"/>
        <v>01612890622</v>
      </c>
      <c r="I2328" t="str">
        <f t="shared" si="303"/>
        <v>01612890622</v>
      </c>
      <c r="K2328" t="str">
        <f>""</f>
        <v/>
      </c>
      <c r="M2328" t="s">
        <v>68</v>
      </c>
      <c r="N2328" t="str">
        <f t="shared" si="302"/>
        <v>FOR</v>
      </c>
      <c r="O2328" t="s">
        <v>69</v>
      </c>
      <c r="P2328" t="s">
        <v>75</v>
      </c>
      <c r="Q2328">
        <v>2016</v>
      </c>
      <c r="R2328" s="4">
        <v>42647</v>
      </c>
      <c r="S2328" s="2">
        <v>42647</v>
      </c>
      <c r="T2328" s="2">
        <v>42647</v>
      </c>
      <c r="U2328" s="4">
        <v>42707</v>
      </c>
      <c r="V2328" t="s">
        <v>71</v>
      </c>
      <c r="W2328" t="str">
        <f>"               28/PA"</f>
        <v xml:space="preserve">               28/PA</v>
      </c>
      <c r="X2328">
        <v>732</v>
      </c>
      <c r="Y2328">
        <v>0</v>
      </c>
      <c r="Z2328" s="5">
        <v>600</v>
      </c>
      <c r="AA2328" s="3">
        <v>68</v>
      </c>
      <c r="AB2328" s="5">
        <v>40800</v>
      </c>
      <c r="AC2328">
        <v>600</v>
      </c>
      <c r="AD2328">
        <v>68</v>
      </c>
      <c r="AE2328" s="1">
        <v>40800</v>
      </c>
      <c r="AF2328">
        <v>0</v>
      </c>
      <c r="AJ2328">
        <v>0</v>
      </c>
      <c r="AK2328">
        <v>0</v>
      </c>
      <c r="AL2328">
        <v>0</v>
      </c>
      <c r="AM2328">
        <v>0</v>
      </c>
      <c r="AN2328">
        <v>0</v>
      </c>
      <c r="AO2328">
        <v>0</v>
      </c>
      <c r="AP2328" s="2">
        <v>42831</v>
      </c>
      <c r="AQ2328" t="s">
        <v>72</v>
      </c>
      <c r="AR2328" t="s">
        <v>72</v>
      </c>
      <c r="AS2328">
        <v>369</v>
      </c>
      <c r="AT2328" s="4">
        <v>42775</v>
      </c>
      <c r="AU2328" t="s">
        <v>73</v>
      </c>
      <c r="AV2328">
        <v>369</v>
      </c>
      <c r="AW2328" s="4">
        <v>42775</v>
      </c>
      <c r="BD2328">
        <v>0</v>
      </c>
      <c r="BN2328" t="s">
        <v>74</v>
      </c>
    </row>
    <row r="2329" spans="1:66">
      <c r="A2329">
        <v>106557</v>
      </c>
      <c r="B2329" t="s">
        <v>490</v>
      </c>
      <c r="C2329" s="1">
        <v>43300101</v>
      </c>
      <c r="D2329" t="s">
        <v>67</v>
      </c>
      <c r="H2329" t="str">
        <f t="shared" si="303"/>
        <v>01612890622</v>
      </c>
      <c r="I2329" t="str">
        <f t="shared" si="303"/>
        <v>01612890622</v>
      </c>
      <c r="K2329" t="str">
        <f>""</f>
        <v/>
      </c>
      <c r="M2329" t="s">
        <v>68</v>
      </c>
      <c r="N2329" t="str">
        <f t="shared" si="302"/>
        <v>FOR</v>
      </c>
      <c r="O2329" t="s">
        <v>69</v>
      </c>
      <c r="P2329" t="s">
        <v>75</v>
      </c>
      <c r="Q2329">
        <v>2016</v>
      </c>
      <c r="R2329" s="4">
        <v>42674</v>
      </c>
      <c r="S2329" s="2">
        <v>42677</v>
      </c>
      <c r="T2329" s="2">
        <v>42677</v>
      </c>
      <c r="U2329" s="4">
        <v>42737</v>
      </c>
      <c r="V2329" t="s">
        <v>71</v>
      </c>
      <c r="W2329" t="str">
        <f>"               29/PA"</f>
        <v xml:space="preserve">               29/PA</v>
      </c>
      <c r="X2329">
        <v>475.8</v>
      </c>
      <c r="Y2329">
        <v>0</v>
      </c>
      <c r="Z2329" s="5">
        <v>390</v>
      </c>
      <c r="AA2329" s="3">
        <v>35</v>
      </c>
      <c r="AB2329" s="5">
        <v>13650</v>
      </c>
      <c r="AC2329">
        <v>390</v>
      </c>
      <c r="AD2329">
        <v>35</v>
      </c>
      <c r="AE2329" s="1">
        <v>13650</v>
      </c>
      <c r="AF2329">
        <v>85.8</v>
      </c>
      <c r="AJ2329">
        <v>0</v>
      </c>
      <c r="AK2329">
        <v>0</v>
      </c>
      <c r="AL2329">
        <v>0</v>
      </c>
      <c r="AM2329">
        <v>0</v>
      </c>
      <c r="AN2329">
        <v>0</v>
      </c>
      <c r="AO2329">
        <v>0</v>
      </c>
      <c r="AP2329" s="2">
        <v>42831</v>
      </c>
      <c r="AQ2329" t="s">
        <v>72</v>
      </c>
      <c r="AR2329" t="s">
        <v>72</v>
      </c>
      <c r="AS2329">
        <v>292</v>
      </c>
      <c r="AT2329" s="4">
        <v>42772</v>
      </c>
      <c r="AU2329" t="s">
        <v>73</v>
      </c>
      <c r="AV2329">
        <v>292</v>
      </c>
      <c r="AW2329" s="4">
        <v>42772</v>
      </c>
      <c r="AZ2329">
        <v>85.8</v>
      </c>
      <c r="BD2329">
        <v>0</v>
      </c>
      <c r="BN2329" t="s">
        <v>74</v>
      </c>
    </row>
    <row r="2330" spans="1:66">
      <c r="A2330">
        <v>106557</v>
      </c>
      <c r="B2330" t="s">
        <v>490</v>
      </c>
      <c r="C2330" s="1">
        <v>43300101</v>
      </c>
      <c r="D2330" t="s">
        <v>67</v>
      </c>
      <c r="H2330" t="str">
        <f t="shared" si="303"/>
        <v>01612890622</v>
      </c>
      <c r="I2330" t="str">
        <f t="shared" si="303"/>
        <v>01612890622</v>
      </c>
      <c r="K2330" t="str">
        <f>""</f>
        <v/>
      </c>
      <c r="M2330" t="s">
        <v>68</v>
      </c>
      <c r="N2330" t="str">
        <f t="shared" si="302"/>
        <v>FOR</v>
      </c>
      <c r="O2330" t="s">
        <v>69</v>
      </c>
      <c r="P2330" t="s">
        <v>75</v>
      </c>
      <c r="Q2330">
        <v>2016</v>
      </c>
      <c r="R2330" s="4">
        <v>42674</v>
      </c>
      <c r="S2330" s="2">
        <v>42677</v>
      </c>
      <c r="T2330" s="2">
        <v>42677</v>
      </c>
      <c r="U2330" s="4">
        <v>42737</v>
      </c>
      <c r="V2330" t="s">
        <v>71</v>
      </c>
      <c r="W2330" t="str">
        <f>"               30/PA"</f>
        <v xml:space="preserve">               30/PA</v>
      </c>
      <c r="X2330">
        <v>59.78</v>
      </c>
      <c r="Y2330">
        <v>0</v>
      </c>
      <c r="Z2330" s="5">
        <v>49</v>
      </c>
      <c r="AA2330" s="3">
        <v>35</v>
      </c>
      <c r="AB2330" s="5">
        <v>1715</v>
      </c>
      <c r="AC2330">
        <v>49</v>
      </c>
      <c r="AD2330">
        <v>35</v>
      </c>
      <c r="AE2330" s="1">
        <v>1715</v>
      </c>
      <c r="AF2330">
        <v>10.78</v>
      </c>
      <c r="AJ2330">
        <v>0</v>
      </c>
      <c r="AK2330">
        <v>0</v>
      </c>
      <c r="AL2330">
        <v>0</v>
      </c>
      <c r="AM2330">
        <v>0</v>
      </c>
      <c r="AN2330">
        <v>0</v>
      </c>
      <c r="AO2330">
        <v>0</v>
      </c>
      <c r="AP2330" s="2">
        <v>42831</v>
      </c>
      <c r="AQ2330" t="s">
        <v>72</v>
      </c>
      <c r="AR2330" t="s">
        <v>72</v>
      </c>
      <c r="AS2330">
        <v>292</v>
      </c>
      <c r="AT2330" s="4">
        <v>42772</v>
      </c>
      <c r="AU2330" t="s">
        <v>73</v>
      </c>
      <c r="AV2330">
        <v>292</v>
      </c>
      <c r="AW2330" s="4">
        <v>42772</v>
      </c>
      <c r="AZ2330">
        <v>10.78</v>
      </c>
      <c r="BD2330">
        <v>0</v>
      </c>
      <c r="BN2330" t="s">
        <v>74</v>
      </c>
    </row>
    <row r="2331" spans="1:66">
      <c r="A2331">
        <v>106557</v>
      </c>
      <c r="B2331" t="s">
        <v>490</v>
      </c>
      <c r="C2331" s="1">
        <v>43300101</v>
      </c>
      <c r="D2331" t="s">
        <v>67</v>
      </c>
      <c r="H2331" t="str">
        <f t="shared" si="303"/>
        <v>01612890622</v>
      </c>
      <c r="I2331" t="str">
        <f t="shared" si="303"/>
        <v>01612890622</v>
      </c>
      <c r="K2331" t="str">
        <f>""</f>
        <v/>
      </c>
      <c r="M2331" t="s">
        <v>68</v>
      </c>
      <c r="N2331" t="str">
        <f t="shared" si="302"/>
        <v>FOR</v>
      </c>
      <c r="O2331" t="s">
        <v>69</v>
      </c>
      <c r="P2331" t="s">
        <v>75</v>
      </c>
      <c r="Q2331">
        <v>2016</v>
      </c>
      <c r="R2331" s="4">
        <v>42674</v>
      </c>
      <c r="S2331" s="2">
        <v>42677</v>
      </c>
      <c r="T2331" s="2">
        <v>42677</v>
      </c>
      <c r="U2331" s="4">
        <v>42737</v>
      </c>
      <c r="V2331" t="s">
        <v>71</v>
      </c>
      <c r="W2331" t="str">
        <f>"               31/PA"</f>
        <v xml:space="preserve">               31/PA</v>
      </c>
      <c r="X2331">
        <v>366</v>
      </c>
      <c r="Y2331">
        <v>0</v>
      </c>
      <c r="Z2331" s="5">
        <v>300</v>
      </c>
      <c r="AA2331" s="3">
        <v>35</v>
      </c>
      <c r="AB2331" s="5">
        <v>10500</v>
      </c>
      <c r="AC2331">
        <v>300</v>
      </c>
      <c r="AD2331">
        <v>35</v>
      </c>
      <c r="AE2331" s="1">
        <v>10500</v>
      </c>
      <c r="AF2331">
        <v>66</v>
      </c>
      <c r="AJ2331">
        <v>0</v>
      </c>
      <c r="AK2331">
        <v>0</v>
      </c>
      <c r="AL2331">
        <v>0</v>
      </c>
      <c r="AM2331">
        <v>0</v>
      </c>
      <c r="AN2331">
        <v>0</v>
      </c>
      <c r="AO2331">
        <v>0</v>
      </c>
      <c r="AP2331" s="2">
        <v>42831</v>
      </c>
      <c r="AQ2331" t="s">
        <v>72</v>
      </c>
      <c r="AR2331" t="s">
        <v>72</v>
      </c>
      <c r="AS2331">
        <v>292</v>
      </c>
      <c r="AT2331" s="4">
        <v>42772</v>
      </c>
      <c r="AU2331" t="s">
        <v>73</v>
      </c>
      <c r="AV2331">
        <v>292</v>
      </c>
      <c r="AW2331" s="4">
        <v>42772</v>
      </c>
      <c r="AZ2331">
        <v>66</v>
      </c>
      <c r="BD2331">
        <v>0</v>
      </c>
      <c r="BN2331" t="s">
        <v>74</v>
      </c>
    </row>
    <row r="2332" spans="1:66">
      <c r="A2332">
        <v>106557</v>
      </c>
      <c r="B2332" t="s">
        <v>490</v>
      </c>
      <c r="C2332" s="1">
        <v>43300101</v>
      </c>
      <c r="D2332" t="s">
        <v>67</v>
      </c>
      <c r="H2332" t="str">
        <f t="shared" si="303"/>
        <v>01612890622</v>
      </c>
      <c r="I2332" t="str">
        <f t="shared" si="303"/>
        <v>01612890622</v>
      </c>
      <c r="K2332" t="str">
        <f>""</f>
        <v/>
      </c>
      <c r="M2332" t="s">
        <v>68</v>
      </c>
      <c r="N2332" t="str">
        <f t="shared" si="302"/>
        <v>FOR</v>
      </c>
      <c r="O2332" t="s">
        <v>69</v>
      </c>
      <c r="P2332" t="s">
        <v>75</v>
      </c>
      <c r="Q2332">
        <v>2016</v>
      </c>
      <c r="R2332" s="4">
        <v>42704</v>
      </c>
      <c r="S2332" s="2">
        <v>42711</v>
      </c>
      <c r="T2332" s="2">
        <v>42711</v>
      </c>
      <c r="U2332" s="4">
        <v>42771</v>
      </c>
      <c r="V2332" t="s">
        <v>71</v>
      </c>
      <c r="W2332" t="str">
        <f>"               37/PA"</f>
        <v xml:space="preserve">               37/PA</v>
      </c>
      <c r="X2332">
        <v>634.4</v>
      </c>
      <c r="Y2332">
        <v>0</v>
      </c>
      <c r="Z2332" s="5">
        <v>520</v>
      </c>
      <c r="AA2332" s="3">
        <v>29</v>
      </c>
      <c r="AB2332" s="5">
        <v>15080</v>
      </c>
      <c r="AC2332">
        <v>520</v>
      </c>
      <c r="AD2332">
        <v>29</v>
      </c>
      <c r="AE2332" s="1">
        <v>15080</v>
      </c>
      <c r="AF2332">
        <v>114.4</v>
      </c>
      <c r="AJ2332">
        <v>0</v>
      </c>
      <c r="AK2332">
        <v>0</v>
      </c>
      <c r="AL2332">
        <v>0</v>
      </c>
      <c r="AM2332">
        <v>0</v>
      </c>
      <c r="AN2332">
        <v>0</v>
      </c>
      <c r="AO2332">
        <v>0</v>
      </c>
      <c r="AP2332" s="2">
        <v>42831</v>
      </c>
      <c r="AQ2332" t="s">
        <v>72</v>
      </c>
      <c r="AR2332" t="s">
        <v>72</v>
      </c>
      <c r="AS2332">
        <v>736</v>
      </c>
      <c r="AT2332" s="4">
        <v>42800</v>
      </c>
      <c r="AU2332" t="s">
        <v>73</v>
      </c>
      <c r="AV2332">
        <v>736</v>
      </c>
      <c r="AW2332" s="4">
        <v>42800</v>
      </c>
      <c r="AY2332">
        <v>114.4</v>
      </c>
      <c r="BD2332">
        <v>0</v>
      </c>
      <c r="BN2332" t="s">
        <v>74</v>
      </c>
    </row>
    <row r="2333" spans="1:66">
      <c r="A2333">
        <v>106557</v>
      </c>
      <c r="B2333" t="s">
        <v>490</v>
      </c>
      <c r="C2333" s="1">
        <v>43300101</v>
      </c>
      <c r="D2333" t="s">
        <v>67</v>
      </c>
      <c r="H2333" t="str">
        <f t="shared" si="303"/>
        <v>01612890622</v>
      </c>
      <c r="I2333" t="str">
        <f t="shared" si="303"/>
        <v>01612890622</v>
      </c>
      <c r="K2333" t="str">
        <f>""</f>
        <v/>
      </c>
      <c r="M2333" t="s">
        <v>68</v>
      </c>
      <c r="N2333" t="str">
        <f t="shared" si="302"/>
        <v>FOR</v>
      </c>
      <c r="O2333" t="s">
        <v>69</v>
      </c>
      <c r="P2333" t="s">
        <v>75</v>
      </c>
      <c r="Q2333">
        <v>2016</v>
      </c>
      <c r="R2333" s="4">
        <v>42704</v>
      </c>
      <c r="S2333" s="2">
        <v>42711</v>
      </c>
      <c r="T2333" s="2">
        <v>42711</v>
      </c>
      <c r="U2333" s="4">
        <v>42771</v>
      </c>
      <c r="V2333" t="s">
        <v>71</v>
      </c>
      <c r="W2333" t="str">
        <f>"               38/PA"</f>
        <v xml:space="preserve">               38/PA</v>
      </c>
      <c r="X2333">
        <v>311.10000000000002</v>
      </c>
      <c r="Y2333">
        <v>0</v>
      </c>
      <c r="Z2333" s="5">
        <v>255</v>
      </c>
      <c r="AA2333" s="3">
        <v>29</v>
      </c>
      <c r="AB2333" s="5">
        <v>7395</v>
      </c>
      <c r="AC2333">
        <v>255</v>
      </c>
      <c r="AD2333">
        <v>29</v>
      </c>
      <c r="AE2333" s="1">
        <v>7395</v>
      </c>
      <c r="AF2333">
        <v>56.1</v>
      </c>
      <c r="AJ2333">
        <v>0</v>
      </c>
      <c r="AK2333">
        <v>0</v>
      </c>
      <c r="AL2333">
        <v>0</v>
      </c>
      <c r="AM2333">
        <v>0</v>
      </c>
      <c r="AN2333">
        <v>0</v>
      </c>
      <c r="AO2333">
        <v>0</v>
      </c>
      <c r="AP2333" s="2">
        <v>42831</v>
      </c>
      <c r="AQ2333" t="s">
        <v>72</v>
      </c>
      <c r="AR2333" t="s">
        <v>72</v>
      </c>
      <c r="AS2333">
        <v>736</v>
      </c>
      <c r="AT2333" s="4">
        <v>42800</v>
      </c>
      <c r="AU2333" t="s">
        <v>73</v>
      </c>
      <c r="AV2333">
        <v>736</v>
      </c>
      <c r="AW2333" s="4">
        <v>42800</v>
      </c>
      <c r="AY2333">
        <v>56.1</v>
      </c>
      <c r="BD2333">
        <v>0</v>
      </c>
      <c r="BN2333" t="s">
        <v>74</v>
      </c>
    </row>
    <row r="2334" spans="1:66">
      <c r="A2334">
        <v>106557</v>
      </c>
      <c r="B2334" t="s">
        <v>490</v>
      </c>
      <c r="C2334" s="1">
        <v>43300101</v>
      </c>
      <c r="D2334" t="s">
        <v>67</v>
      </c>
      <c r="H2334" t="str">
        <f t="shared" si="303"/>
        <v>01612890622</v>
      </c>
      <c r="I2334" t="str">
        <f t="shared" si="303"/>
        <v>01612890622</v>
      </c>
      <c r="K2334" t="str">
        <f>""</f>
        <v/>
      </c>
      <c r="M2334" t="s">
        <v>68</v>
      </c>
      <c r="N2334" t="str">
        <f t="shared" si="302"/>
        <v>FOR</v>
      </c>
      <c r="O2334" t="s">
        <v>69</v>
      </c>
      <c r="P2334" t="s">
        <v>75</v>
      </c>
      <c r="Q2334">
        <v>2016</v>
      </c>
      <c r="R2334" s="4">
        <v>42706</v>
      </c>
      <c r="S2334" s="2">
        <v>42711</v>
      </c>
      <c r="T2334" s="2">
        <v>42711</v>
      </c>
      <c r="U2334" s="4">
        <v>42771</v>
      </c>
      <c r="V2334" t="s">
        <v>71</v>
      </c>
      <c r="W2334" t="str">
        <f>"               39/PA"</f>
        <v xml:space="preserve">               39/PA</v>
      </c>
      <c r="X2334">
        <v>603.9</v>
      </c>
      <c r="Y2334">
        <v>0</v>
      </c>
      <c r="Z2334" s="5">
        <v>495</v>
      </c>
      <c r="AA2334" s="3">
        <v>29</v>
      </c>
      <c r="AB2334" s="5">
        <v>14355</v>
      </c>
      <c r="AC2334">
        <v>495</v>
      </c>
      <c r="AD2334">
        <v>29</v>
      </c>
      <c r="AE2334" s="1">
        <v>14355</v>
      </c>
      <c r="AF2334">
        <v>108.9</v>
      </c>
      <c r="AJ2334">
        <v>0</v>
      </c>
      <c r="AK2334">
        <v>0</v>
      </c>
      <c r="AL2334">
        <v>0</v>
      </c>
      <c r="AM2334">
        <v>0</v>
      </c>
      <c r="AN2334">
        <v>0</v>
      </c>
      <c r="AO2334">
        <v>0</v>
      </c>
      <c r="AP2334" s="2">
        <v>42831</v>
      </c>
      <c r="AQ2334" t="s">
        <v>72</v>
      </c>
      <c r="AR2334" t="s">
        <v>72</v>
      </c>
      <c r="AS2334">
        <v>736</v>
      </c>
      <c r="AT2334" s="4">
        <v>42800</v>
      </c>
      <c r="AU2334" t="s">
        <v>73</v>
      </c>
      <c r="AV2334">
        <v>736</v>
      </c>
      <c r="AW2334" s="4">
        <v>42800</v>
      </c>
      <c r="AY2334">
        <v>108.9</v>
      </c>
      <c r="BD2334">
        <v>0</v>
      </c>
      <c r="BN2334" t="s">
        <v>74</v>
      </c>
    </row>
    <row r="2335" spans="1:66">
      <c r="A2335">
        <v>106557</v>
      </c>
      <c r="B2335" t="s">
        <v>490</v>
      </c>
      <c r="C2335" s="1">
        <v>43300101</v>
      </c>
      <c r="D2335" t="s">
        <v>67</v>
      </c>
      <c r="H2335" t="str">
        <f t="shared" si="303"/>
        <v>01612890622</v>
      </c>
      <c r="I2335" t="str">
        <f t="shared" si="303"/>
        <v>01612890622</v>
      </c>
      <c r="K2335" t="str">
        <f>""</f>
        <v/>
      </c>
      <c r="M2335" t="s">
        <v>68</v>
      </c>
      <c r="N2335" t="str">
        <f t="shared" si="302"/>
        <v>FOR</v>
      </c>
      <c r="O2335" t="s">
        <v>69</v>
      </c>
      <c r="P2335" t="s">
        <v>75</v>
      </c>
      <c r="Q2335">
        <v>2016</v>
      </c>
      <c r="R2335" s="4">
        <v>42711</v>
      </c>
      <c r="S2335" s="2">
        <v>42711</v>
      </c>
      <c r="T2335" s="2">
        <v>42711</v>
      </c>
      <c r="U2335" s="4">
        <v>42771</v>
      </c>
      <c r="V2335" t="s">
        <v>71</v>
      </c>
      <c r="W2335" t="str">
        <f>"               40/PA"</f>
        <v xml:space="preserve">               40/PA</v>
      </c>
      <c r="X2335">
        <v>244</v>
      </c>
      <c r="Y2335">
        <v>0</v>
      </c>
      <c r="Z2335" s="5">
        <v>200</v>
      </c>
      <c r="AA2335" s="3">
        <v>29</v>
      </c>
      <c r="AB2335" s="5">
        <v>5800</v>
      </c>
      <c r="AC2335">
        <v>200</v>
      </c>
      <c r="AD2335">
        <v>29</v>
      </c>
      <c r="AE2335" s="1">
        <v>5800</v>
      </c>
      <c r="AF2335">
        <v>44</v>
      </c>
      <c r="AJ2335">
        <v>0</v>
      </c>
      <c r="AK2335">
        <v>0</v>
      </c>
      <c r="AL2335">
        <v>0</v>
      </c>
      <c r="AM2335">
        <v>0</v>
      </c>
      <c r="AN2335">
        <v>0</v>
      </c>
      <c r="AO2335">
        <v>0</v>
      </c>
      <c r="AP2335" s="2">
        <v>42831</v>
      </c>
      <c r="AQ2335" t="s">
        <v>72</v>
      </c>
      <c r="AR2335" t="s">
        <v>72</v>
      </c>
      <c r="AS2335">
        <v>736</v>
      </c>
      <c r="AT2335" s="4">
        <v>42800</v>
      </c>
      <c r="AU2335" t="s">
        <v>73</v>
      </c>
      <c r="AV2335">
        <v>736</v>
      </c>
      <c r="AW2335" s="4">
        <v>42800</v>
      </c>
      <c r="AY2335">
        <v>44</v>
      </c>
      <c r="BD2335">
        <v>0</v>
      </c>
      <c r="BN2335" t="s">
        <v>74</v>
      </c>
    </row>
    <row r="2336" spans="1:66">
      <c r="A2336">
        <v>106557</v>
      </c>
      <c r="B2336" t="s">
        <v>490</v>
      </c>
      <c r="C2336" s="1">
        <v>43300101</v>
      </c>
      <c r="D2336" t="s">
        <v>67</v>
      </c>
      <c r="H2336" t="str">
        <f t="shared" si="303"/>
        <v>01612890622</v>
      </c>
      <c r="I2336" t="str">
        <f t="shared" si="303"/>
        <v>01612890622</v>
      </c>
      <c r="K2336" t="str">
        <f>""</f>
        <v/>
      </c>
      <c r="M2336" t="s">
        <v>68</v>
      </c>
      <c r="N2336" t="str">
        <f t="shared" si="302"/>
        <v>FOR</v>
      </c>
      <c r="O2336" t="s">
        <v>69</v>
      </c>
      <c r="P2336" t="s">
        <v>75</v>
      </c>
      <c r="Q2336">
        <v>2016</v>
      </c>
      <c r="R2336" s="4">
        <v>42711</v>
      </c>
      <c r="S2336" s="2">
        <v>42711</v>
      </c>
      <c r="T2336" s="2">
        <v>42711</v>
      </c>
      <c r="U2336" s="4">
        <v>42771</v>
      </c>
      <c r="V2336" t="s">
        <v>71</v>
      </c>
      <c r="W2336" t="str">
        <f>"               41/PA"</f>
        <v xml:space="preserve">               41/PA</v>
      </c>
      <c r="X2336">
        <v>183</v>
      </c>
      <c r="Y2336">
        <v>0</v>
      </c>
      <c r="Z2336" s="5">
        <v>150</v>
      </c>
      <c r="AA2336" s="3">
        <v>29</v>
      </c>
      <c r="AB2336" s="5">
        <v>4350</v>
      </c>
      <c r="AC2336">
        <v>150</v>
      </c>
      <c r="AD2336">
        <v>29</v>
      </c>
      <c r="AE2336" s="1">
        <v>4350</v>
      </c>
      <c r="AF2336">
        <v>33</v>
      </c>
      <c r="AJ2336">
        <v>0</v>
      </c>
      <c r="AK2336">
        <v>0</v>
      </c>
      <c r="AL2336">
        <v>0</v>
      </c>
      <c r="AM2336">
        <v>0</v>
      </c>
      <c r="AN2336">
        <v>0</v>
      </c>
      <c r="AO2336">
        <v>0</v>
      </c>
      <c r="AP2336" s="2">
        <v>42831</v>
      </c>
      <c r="AQ2336" t="s">
        <v>72</v>
      </c>
      <c r="AR2336" t="s">
        <v>72</v>
      </c>
      <c r="AS2336">
        <v>736</v>
      </c>
      <c r="AT2336" s="4">
        <v>42800</v>
      </c>
      <c r="AU2336" t="s">
        <v>73</v>
      </c>
      <c r="AV2336">
        <v>736</v>
      </c>
      <c r="AW2336" s="4">
        <v>42800</v>
      </c>
      <c r="AY2336">
        <v>33</v>
      </c>
      <c r="BD2336">
        <v>0</v>
      </c>
      <c r="BN2336" t="s">
        <v>74</v>
      </c>
    </row>
    <row r="2337" spans="1:66">
      <c r="A2337">
        <v>106557</v>
      </c>
      <c r="B2337" t="s">
        <v>490</v>
      </c>
      <c r="C2337" s="1">
        <v>43300101</v>
      </c>
      <c r="D2337" t="s">
        <v>67</v>
      </c>
      <c r="H2337" t="str">
        <f t="shared" si="303"/>
        <v>01612890622</v>
      </c>
      <c r="I2337" t="str">
        <f t="shared" si="303"/>
        <v>01612890622</v>
      </c>
      <c r="K2337" t="str">
        <f>""</f>
        <v/>
      </c>
      <c r="M2337" t="s">
        <v>68</v>
      </c>
      <c r="N2337" t="str">
        <f t="shared" si="302"/>
        <v>FOR</v>
      </c>
      <c r="O2337" t="s">
        <v>69</v>
      </c>
      <c r="P2337" t="s">
        <v>75</v>
      </c>
      <c r="Q2337">
        <v>2016</v>
      </c>
      <c r="R2337" s="4">
        <v>42735</v>
      </c>
      <c r="S2337" s="2">
        <v>42762</v>
      </c>
      <c r="T2337" s="2">
        <v>42762</v>
      </c>
      <c r="U2337" s="4">
        <v>42822</v>
      </c>
      <c r="V2337" t="s">
        <v>71</v>
      </c>
      <c r="W2337" t="str">
        <f>"               42/PA"</f>
        <v xml:space="preserve">               42/PA</v>
      </c>
      <c r="X2337">
        <v>549</v>
      </c>
      <c r="Y2337">
        <v>0</v>
      </c>
      <c r="Z2337" s="5">
        <v>450</v>
      </c>
      <c r="AA2337" s="3">
        <v>-22</v>
      </c>
      <c r="AB2337" s="5">
        <v>-9900</v>
      </c>
      <c r="AC2337">
        <v>450</v>
      </c>
      <c r="AD2337">
        <v>-22</v>
      </c>
      <c r="AE2337" s="1">
        <v>-9900</v>
      </c>
      <c r="AF2337">
        <v>99</v>
      </c>
      <c r="AJ2337">
        <v>0</v>
      </c>
      <c r="AK2337">
        <v>549</v>
      </c>
      <c r="AL2337">
        <v>0</v>
      </c>
      <c r="AM2337">
        <v>0</v>
      </c>
      <c r="AN2337">
        <v>549</v>
      </c>
      <c r="AO2337">
        <v>0</v>
      </c>
      <c r="AP2337" s="2">
        <v>42831</v>
      </c>
      <c r="AQ2337" t="s">
        <v>72</v>
      </c>
      <c r="AR2337" t="s">
        <v>72</v>
      </c>
      <c r="AS2337">
        <v>736</v>
      </c>
      <c r="AT2337" s="4">
        <v>42800</v>
      </c>
      <c r="AV2337">
        <v>736</v>
      </c>
      <c r="AW2337" s="4">
        <v>42800</v>
      </c>
      <c r="AX2337">
        <v>99</v>
      </c>
      <c r="BD2337">
        <v>0</v>
      </c>
      <c r="BN2337" t="s">
        <v>74</v>
      </c>
    </row>
    <row r="2338" spans="1:66">
      <c r="A2338">
        <v>106557</v>
      </c>
      <c r="B2338" t="s">
        <v>490</v>
      </c>
      <c r="C2338" s="1">
        <v>43300101</v>
      </c>
      <c r="D2338" t="s">
        <v>67</v>
      </c>
      <c r="H2338" t="str">
        <f t="shared" si="303"/>
        <v>01612890622</v>
      </c>
      <c r="I2338" t="str">
        <f t="shared" si="303"/>
        <v>01612890622</v>
      </c>
      <c r="K2338" t="str">
        <f>""</f>
        <v/>
      </c>
      <c r="M2338" t="s">
        <v>68</v>
      </c>
      <c r="N2338" t="str">
        <f t="shared" si="302"/>
        <v>FOR</v>
      </c>
      <c r="O2338" t="s">
        <v>69</v>
      </c>
      <c r="P2338" t="s">
        <v>75</v>
      </c>
      <c r="Q2338">
        <v>2016</v>
      </c>
      <c r="R2338" s="4">
        <v>42735</v>
      </c>
      <c r="S2338" s="2">
        <v>42762</v>
      </c>
      <c r="T2338" s="2">
        <v>42762</v>
      </c>
      <c r="U2338" s="4">
        <v>42822</v>
      </c>
      <c r="V2338" t="s">
        <v>71</v>
      </c>
      <c r="W2338" t="str">
        <f>"               43/PA"</f>
        <v xml:space="preserve">               43/PA</v>
      </c>
      <c r="X2338">
        <v>683.2</v>
      </c>
      <c r="Y2338">
        <v>0</v>
      </c>
      <c r="Z2338" s="5">
        <v>560</v>
      </c>
      <c r="AA2338" s="3">
        <v>-22</v>
      </c>
      <c r="AB2338" s="5">
        <v>-12320</v>
      </c>
      <c r="AC2338">
        <v>560</v>
      </c>
      <c r="AD2338">
        <v>-22</v>
      </c>
      <c r="AE2338" s="1">
        <v>-12320</v>
      </c>
      <c r="AF2338">
        <v>123.2</v>
      </c>
      <c r="AJ2338">
        <v>0</v>
      </c>
      <c r="AK2338">
        <v>683.2</v>
      </c>
      <c r="AL2338">
        <v>0</v>
      </c>
      <c r="AM2338">
        <v>0</v>
      </c>
      <c r="AN2338">
        <v>683.2</v>
      </c>
      <c r="AO2338">
        <v>0</v>
      </c>
      <c r="AP2338" s="2">
        <v>42831</v>
      </c>
      <c r="AQ2338" t="s">
        <v>72</v>
      </c>
      <c r="AR2338" t="s">
        <v>72</v>
      </c>
      <c r="AS2338">
        <v>736</v>
      </c>
      <c r="AT2338" s="4">
        <v>42800</v>
      </c>
      <c r="AV2338">
        <v>736</v>
      </c>
      <c r="AW2338" s="4">
        <v>42800</v>
      </c>
      <c r="AX2338">
        <v>123.2</v>
      </c>
      <c r="BD2338">
        <v>0</v>
      </c>
      <c r="BN2338" t="s">
        <v>74</v>
      </c>
    </row>
    <row r="2339" spans="1:66">
      <c r="A2339">
        <v>106557</v>
      </c>
      <c r="B2339" t="s">
        <v>490</v>
      </c>
      <c r="C2339" s="1">
        <v>43300101</v>
      </c>
      <c r="D2339" t="s">
        <v>67</v>
      </c>
      <c r="H2339" t="str">
        <f t="shared" si="303"/>
        <v>01612890622</v>
      </c>
      <c r="I2339" t="str">
        <f t="shared" si="303"/>
        <v>01612890622</v>
      </c>
      <c r="K2339" t="str">
        <f>""</f>
        <v/>
      </c>
      <c r="M2339" t="s">
        <v>68</v>
      </c>
      <c r="N2339" t="str">
        <f t="shared" si="302"/>
        <v>FOR</v>
      </c>
      <c r="O2339" t="s">
        <v>69</v>
      </c>
      <c r="P2339" t="s">
        <v>75</v>
      </c>
      <c r="Q2339">
        <v>2016</v>
      </c>
      <c r="R2339" s="4">
        <v>42735</v>
      </c>
      <c r="S2339" s="2">
        <v>42762</v>
      </c>
      <c r="T2339" s="2">
        <v>42762</v>
      </c>
      <c r="U2339" s="4">
        <v>42822</v>
      </c>
      <c r="V2339" t="s">
        <v>71</v>
      </c>
      <c r="W2339" t="str">
        <f>"               44/PA"</f>
        <v xml:space="preserve">               44/PA</v>
      </c>
      <c r="X2339">
        <v>646.6</v>
      </c>
      <c r="Y2339">
        <v>0</v>
      </c>
      <c r="Z2339" s="5">
        <v>530</v>
      </c>
      <c r="AA2339" s="3">
        <v>-22</v>
      </c>
      <c r="AB2339" s="5">
        <v>-11660</v>
      </c>
      <c r="AC2339">
        <v>530</v>
      </c>
      <c r="AD2339">
        <v>-22</v>
      </c>
      <c r="AE2339" s="1">
        <v>-11660</v>
      </c>
      <c r="AF2339">
        <v>116.6</v>
      </c>
      <c r="AJ2339">
        <v>0</v>
      </c>
      <c r="AK2339">
        <v>646.6</v>
      </c>
      <c r="AL2339">
        <v>0</v>
      </c>
      <c r="AM2339">
        <v>0</v>
      </c>
      <c r="AN2339">
        <v>646.6</v>
      </c>
      <c r="AO2339">
        <v>0</v>
      </c>
      <c r="AP2339" s="2">
        <v>42831</v>
      </c>
      <c r="AQ2339" t="s">
        <v>72</v>
      </c>
      <c r="AR2339" t="s">
        <v>72</v>
      </c>
      <c r="AS2339">
        <v>736</v>
      </c>
      <c r="AT2339" s="4">
        <v>42800</v>
      </c>
      <c r="AV2339">
        <v>736</v>
      </c>
      <c r="AW2339" s="4">
        <v>42800</v>
      </c>
      <c r="AX2339">
        <v>116.6</v>
      </c>
      <c r="BD2339">
        <v>0</v>
      </c>
      <c r="BN2339" t="s">
        <v>74</v>
      </c>
    </row>
    <row r="2340" spans="1:66">
      <c r="A2340">
        <v>106557</v>
      </c>
      <c r="B2340" t="s">
        <v>490</v>
      </c>
      <c r="C2340" s="1">
        <v>43300101</v>
      </c>
      <c r="D2340" t="s">
        <v>67</v>
      </c>
      <c r="H2340" t="str">
        <f t="shared" si="303"/>
        <v>01612890622</v>
      </c>
      <c r="I2340" t="str">
        <f t="shared" si="303"/>
        <v>01612890622</v>
      </c>
      <c r="K2340" t="str">
        <f>""</f>
        <v/>
      </c>
      <c r="M2340" t="s">
        <v>68</v>
      </c>
      <c r="N2340" t="str">
        <f t="shared" si="302"/>
        <v>FOR</v>
      </c>
      <c r="O2340" t="s">
        <v>69</v>
      </c>
      <c r="P2340" t="s">
        <v>75</v>
      </c>
      <c r="Q2340">
        <v>2016</v>
      </c>
      <c r="R2340" s="4">
        <v>42735</v>
      </c>
      <c r="S2340" s="2">
        <v>42762</v>
      </c>
      <c r="T2340" s="2">
        <v>42762</v>
      </c>
      <c r="U2340" s="4">
        <v>42822</v>
      </c>
      <c r="V2340" t="s">
        <v>71</v>
      </c>
      <c r="W2340" t="str">
        <f>"               45/PA"</f>
        <v xml:space="preserve">               45/PA</v>
      </c>
      <c r="X2340">
        <v>732</v>
      </c>
      <c r="Y2340">
        <v>0</v>
      </c>
      <c r="Z2340" s="5">
        <v>600</v>
      </c>
      <c r="AA2340" s="3">
        <v>-22</v>
      </c>
      <c r="AB2340" s="5">
        <v>-13200</v>
      </c>
      <c r="AC2340">
        <v>600</v>
      </c>
      <c r="AD2340">
        <v>-22</v>
      </c>
      <c r="AE2340" s="1">
        <v>-13200</v>
      </c>
      <c r="AF2340">
        <v>132</v>
      </c>
      <c r="AJ2340">
        <v>0</v>
      </c>
      <c r="AK2340">
        <v>732</v>
      </c>
      <c r="AL2340">
        <v>0</v>
      </c>
      <c r="AM2340">
        <v>0</v>
      </c>
      <c r="AN2340">
        <v>732</v>
      </c>
      <c r="AO2340">
        <v>0</v>
      </c>
      <c r="AP2340" s="2">
        <v>42831</v>
      </c>
      <c r="AQ2340" t="s">
        <v>72</v>
      </c>
      <c r="AR2340" t="s">
        <v>72</v>
      </c>
      <c r="AS2340">
        <v>736</v>
      </c>
      <c r="AT2340" s="4">
        <v>42800</v>
      </c>
      <c r="AV2340">
        <v>736</v>
      </c>
      <c r="AW2340" s="4">
        <v>42800</v>
      </c>
      <c r="AX2340">
        <v>132</v>
      </c>
      <c r="BD2340">
        <v>0</v>
      </c>
      <c r="BN2340" t="s">
        <v>74</v>
      </c>
    </row>
    <row r="2341" spans="1:66">
      <c r="A2341">
        <v>106558</v>
      </c>
      <c r="B2341" t="s">
        <v>491</v>
      </c>
      <c r="C2341" s="1">
        <v>43500101</v>
      </c>
      <c r="D2341" t="s">
        <v>98</v>
      </c>
      <c r="H2341" t="str">
        <f>"FDRPRI80E71G596D"</f>
        <v>FDRPRI80E71G596D</v>
      </c>
      <c r="I2341" t="str">
        <f>"01622840625"</f>
        <v>01622840625</v>
      </c>
      <c r="K2341" t="str">
        <f>""</f>
        <v/>
      </c>
      <c r="M2341" t="s">
        <v>68</v>
      </c>
      <c r="N2341" t="str">
        <f>"ALTPRO"</f>
        <v>ALTPRO</v>
      </c>
      <c r="O2341" t="s">
        <v>116</v>
      </c>
      <c r="P2341" t="s">
        <v>75</v>
      </c>
      <c r="Q2341">
        <v>2017</v>
      </c>
      <c r="R2341" s="4">
        <v>42744</v>
      </c>
      <c r="S2341" s="2">
        <v>42747</v>
      </c>
      <c r="T2341" s="2">
        <v>42744</v>
      </c>
      <c r="U2341" s="4">
        <v>42804</v>
      </c>
      <c r="V2341" t="s">
        <v>71</v>
      </c>
      <c r="W2341" t="str">
        <f>"         FATTPA 1_17"</f>
        <v xml:space="preserve">         FATTPA 1_17</v>
      </c>
      <c r="X2341" s="1">
        <v>2634</v>
      </c>
      <c r="Y2341">
        <v>-526.79999999999995</v>
      </c>
      <c r="Z2341" s="5">
        <v>2107.1999999999998</v>
      </c>
      <c r="AA2341" s="3">
        <v>-39</v>
      </c>
      <c r="AB2341" s="5">
        <v>-82180.800000000003</v>
      </c>
      <c r="AC2341" s="1">
        <v>2107.1999999999998</v>
      </c>
      <c r="AD2341">
        <v>-39</v>
      </c>
      <c r="AE2341" s="1">
        <v>-82180.800000000003</v>
      </c>
      <c r="AF2341">
        <v>0</v>
      </c>
      <c r="AJ2341">
        <v>-526.79999999999995</v>
      </c>
      <c r="AK2341" s="1">
        <v>2107.1999999999998</v>
      </c>
      <c r="AL2341" s="1">
        <v>2107.1999999999998</v>
      </c>
      <c r="AM2341">
        <v>-526.79999999999995</v>
      </c>
      <c r="AN2341" s="1">
        <v>2107.1999999999998</v>
      </c>
      <c r="AO2341" s="1">
        <v>2107.1999999999998</v>
      </c>
      <c r="AP2341" s="2">
        <v>42831</v>
      </c>
      <c r="AQ2341" t="s">
        <v>72</v>
      </c>
      <c r="AR2341" t="s">
        <v>72</v>
      </c>
      <c r="AS2341">
        <v>134</v>
      </c>
      <c r="AT2341" s="4">
        <v>42765</v>
      </c>
      <c r="AV2341">
        <v>134</v>
      </c>
      <c r="AW2341" s="4">
        <v>42765</v>
      </c>
      <c r="BD2341">
        <v>0</v>
      </c>
      <c r="BN2341" t="s">
        <v>74</v>
      </c>
    </row>
    <row r="2342" spans="1:66">
      <c r="A2342">
        <v>106558</v>
      </c>
      <c r="B2342" t="s">
        <v>491</v>
      </c>
      <c r="C2342" s="1">
        <v>43500101</v>
      </c>
      <c r="D2342" t="s">
        <v>98</v>
      </c>
      <c r="H2342" t="str">
        <f>"FDRPRI80E71G596D"</f>
        <v>FDRPRI80E71G596D</v>
      </c>
      <c r="I2342" t="str">
        <f>"01622840625"</f>
        <v>01622840625</v>
      </c>
      <c r="K2342" t="str">
        <f>""</f>
        <v/>
      </c>
      <c r="M2342" t="s">
        <v>68</v>
      </c>
      <c r="N2342" t="str">
        <f>"ALTPRO"</f>
        <v>ALTPRO</v>
      </c>
      <c r="O2342" t="s">
        <v>116</v>
      </c>
      <c r="P2342" t="s">
        <v>75</v>
      </c>
      <c r="Q2342">
        <v>2017</v>
      </c>
      <c r="R2342" s="4">
        <v>42775</v>
      </c>
      <c r="S2342" s="2">
        <v>42775</v>
      </c>
      <c r="T2342" s="2">
        <v>42775</v>
      </c>
      <c r="U2342" s="4">
        <v>42835</v>
      </c>
      <c r="V2342" t="s">
        <v>71</v>
      </c>
      <c r="W2342" t="str">
        <f>"         FATTPA 2_17"</f>
        <v xml:space="preserve">         FATTPA 2_17</v>
      </c>
      <c r="X2342" s="1">
        <v>2634</v>
      </c>
      <c r="Y2342">
        <v>-526.79999999999995</v>
      </c>
      <c r="Z2342" s="5">
        <v>2107.1999999999998</v>
      </c>
      <c r="AA2342" s="3">
        <v>-59</v>
      </c>
      <c r="AB2342" s="5">
        <v>-124324.8</v>
      </c>
      <c r="AC2342" s="1">
        <v>2107.1999999999998</v>
      </c>
      <c r="AD2342">
        <v>-59</v>
      </c>
      <c r="AE2342" s="1">
        <v>-124324.8</v>
      </c>
      <c r="AF2342">
        <v>0</v>
      </c>
      <c r="AJ2342" s="1">
        <v>2107.1999999999998</v>
      </c>
      <c r="AK2342" s="1">
        <v>2107.1999999999998</v>
      </c>
      <c r="AL2342" s="1">
        <v>2107.1999999999998</v>
      </c>
      <c r="AM2342" s="1">
        <v>2107.1999999999998</v>
      </c>
      <c r="AN2342" s="1">
        <v>2107.1999999999998</v>
      </c>
      <c r="AO2342" s="1">
        <v>2107.1999999999998</v>
      </c>
      <c r="AP2342" s="2">
        <v>42831</v>
      </c>
      <c r="AQ2342" t="s">
        <v>72</v>
      </c>
      <c r="AR2342" t="s">
        <v>72</v>
      </c>
      <c r="AS2342">
        <v>392</v>
      </c>
      <c r="AT2342" s="4">
        <v>42776</v>
      </c>
      <c r="AV2342">
        <v>392</v>
      </c>
      <c r="AW2342" s="4">
        <v>42776</v>
      </c>
      <c r="BD2342">
        <v>0</v>
      </c>
      <c r="BN2342" t="s">
        <v>74</v>
      </c>
    </row>
    <row r="2343" spans="1:66">
      <c r="A2343">
        <v>106558</v>
      </c>
      <c r="B2343" t="s">
        <v>491</v>
      </c>
      <c r="C2343" s="1">
        <v>43500101</v>
      </c>
      <c r="D2343" t="s">
        <v>98</v>
      </c>
      <c r="H2343" t="str">
        <f>"FDRPRI80E71G596D"</f>
        <v>FDRPRI80E71G596D</v>
      </c>
      <c r="I2343" t="str">
        <f>"01622840625"</f>
        <v>01622840625</v>
      </c>
      <c r="K2343" t="str">
        <f>""</f>
        <v/>
      </c>
      <c r="M2343" t="s">
        <v>68</v>
      </c>
      <c r="N2343" t="str">
        <f>"ALTPRO"</f>
        <v>ALTPRO</v>
      </c>
      <c r="O2343" t="s">
        <v>116</v>
      </c>
      <c r="P2343" t="s">
        <v>75</v>
      </c>
      <c r="Q2343">
        <v>2017</v>
      </c>
      <c r="R2343" s="4">
        <v>42795</v>
      </c>
      <c r="S2343" s="2">
        <v>42796</v>
      </c>
      <c r="T2343" s="2">
        <v>42795</v>
      </c>
      <c r="U2343" s="4">
        <v>42855</v>
      </c>
      <c r="V2343" t="s">
        <v>71</v>
      </c>
      <c r="W2343" t="str">
        <f>"         FATTPA 3_17"</f>
        <v xml:space="preserve">         FATTPA 3_17</v>
      </c>
      <c r="X2343" s="1">
        <v>2528.64</v>
      </c>
      <c r="Y2343">
        <v>-505.73</v>
      </c>
      <c r="Z2343" s="5">
        <v>2022.91</v>
      </c>
      <c r="AA2343" s="3">
        <v>-59</v>
      </c>
      <c r="AB2343" s="5">
        <v>-119351.69</v>
      </c>
      <c r="AC2343" s="1">
        <v>2022.91</v>
      </c>
      <c r="AD2343">
        <v>-59</v>
      </c>
      <c r="AE2343" s="1">
        <v>-119351.69</v>
      </c>
      <c r="AF2343">
        <v>0</v>
      </c>
      <c r="AJ2343" s="1">
        <v>2022.91</v>
      </c>
      <c r="AK2343" s="1">
        <v>2022.91</v>
      </c>
      <c r="AL2343" s="1">
        <v>2022.91</v>
      </c>
      <c r="AM2343" s="1">
        <v>2022.91</v>
      </c>
      <c r="AN2343" s="1">
        <v>2022.91</v>
      </c>
      <c r="AO2343" s="1">
        <v>2022.91</v>
      </c>
      <c r="AP2343" s="2">
        <v>42831</v>
      </c>
      <c r="AQ2343" t="s">
        <v>72</v>
      </c>
      <c r="AR2343" t="s">
        <v>72</v>
      </c>
      <c r="AS2343">
        <v>693</v>
      </c>
      <c r="AT2343" s="4">
        <v>42796</v>
      </c>
      <c r="AV2343">
        <v>693</v>
      </c>
      <c r="AW2343" s="4">
        <v>42796</v>
      </c>
      <c r="BD2343">
        <v>0</v>
      </c>
      <c r="BN2343" t="s">
        <v>74</v>
      </c>
    </row>
    <row r="2344" spans="1:66">
      <c r="A2344">
        <v>106559</v>
      </c>
      <c r="B2344" t="s">
        <v>492</v>
      </c>
      <c r="C2344" s="1">
        <v>43300101</v>
      </c>
      <c r="D2344" t="s">
        <v>67</v>
      </c>
      <c r="H2344" t="str">
        <f t="shared" ref="H2344:I2349" si="304">"08418370964"</f>
        <v>08418370964</v>
      </c>
      <c r="I2344" t="str">
        <f t="shared" si="304"/>
        <v>08418370964</v>
      </c>
      <c r="K2344" t="str">
        <f>""</f>
        <v/>
      </c>
      <c r="M2344" t="s">
        <v>68</v>
      </c>
      <c r="N2344" t="str">
        <f t="shared" ref="N2344:N2375" si="305">"FOR"</f>
        <v>FOR</v>
      </c>
      <c r="O2344" t="s">
        <v>69</v>
      </c>
      <c r="P2344" t="s">
        <v>75</v>
      </c>
      <c r="Q2344">
        <v>2016</v>
      </c>
      <c r="R2344" s="4">
        <v>42460</v>
      </c>
      <c r="S2344" s="2">
        <v>42556</v>
      </c>
      <c r="T2344" s="2">
        <v>42466</v>
      </c>
      <c r="U2344" s="4">
        <v>42526</v>
      </c>
      <c r="V2344" t="s">
        <v>71</v>
      </c>
      <c r="W2344" t="str">
        <f>"             0503118"</f>
        <v xml:space="preserve">             0503118</v>
      </c>
      <c r="X2344" s="1">
        <v>3105.84</v>
      </c>
      <c r="Y2344">
        <v>0</v>
      </c>
      <c r="Z2344" s="5">
        <v>2986.38</v>
      </c>
      <c r="AA2344" s="3">
        <v>240</v>
      </c>
      <c r="AB2344" s="5">
        <v>716731.2</v>
      </c>
      <c r="AC2344" s="1">
        <v>2986.38</v>
      </c>
      <c r="AD2344">
        <v>240</v>
      </c>
      <c r="AE2344" s="1">
        <v>716731.2</v>
      </c>
      <c r="AF2344">
        <v>0</v>
      </c>
      <c r="AJ2344">
        <v>0</v>
      </c>
      <c r="AK2344">
        <v>0</v>
      </c>
      <c r="AL2344">
        <v>0</v>
      </c>
      <c r="AM2344">
        <v>0</v>
      </c>
      <c r="AN2344">
        <v>0</v>
      </c>
      <c r="AO2344">
        <v>0</v>
      </c>
      <c r="AP2344" s="2">
        <v>42831</v>
      </c>
      <c r="AQ2344" t="s">
        <v>72</v>
      </c>
      <c r="AR2344" t="s">
        <v>72</v>
      </c>
      <c r="AS2344">
        <v>173</v>
      </c>
      <c r="AT2344" s="4">
        <v>42766</v>
      </c>
      <c r="AU2344" t="s">
        <v>73</v>
      </c>
      <c r="AV2344">
        <v>173</v>
      </c>
      <c r="AW2344" s="4">
        <v>42766</v>
      </c>
      <c r="BD2344">
        <v>0</v>
      </c>
      <c r="BN2344" t="s">
        <v>74</v>
      </c>
    </row>
    <row r="2345" spans="1:66">
      <c r="A2345">
        <v>106559</v>
      </c>
      <c r="B2345" t="s">
        <v>492</v>
      </c>
      <c r="C2345" s="1">
        <v>43300101</v>
      </c>
      <c r="D2345" t="s">
        <v>67</v>
      </c>
      <c r="H2345" t="str">
        <f t="shared" si="304"/>
        <v>08418370964</v>
      </c>
      <c r="I2345" t="str">
        <f t="shared" si="304"/>
        <v>08418370964</v>
      </c>
      <c r="K2345" t="str">
        <f>""</f>
        <v/>
      </c>
      <c r="M2345" t="s">
        <v>68</v>
      </c>
      <c r="N2345" t="str">
        <f t="shared" si="305"/>
        <v>FOR</v>
      </c>
      <c r="O2345" t="s">
        <v>69</v>
      </c>
      <c r="P2345" t="s">
        <v>75</v>
      </c>
      <c r="Q2345">
        <v>2016</v>
      </c>
      <c r="R2345" s="4">
        <v>42460</v>
      </c>
      <c r="S2345" s="2">
        <v>42556</v>
      </c>
      <c r="T2345" s="2">
        <v>42466</v>
      </c>
      <c r="U2345" s="4">
        <v>42526</v>
      </c>
      <c r="V2345" t="s">
        <v>71</v>
      </c>
      <c r="W2345" t="str">
        <f>"             0503119"</f>
        <v xml:space="preserve">             0503119</v>
      </c>
      <c r="X2345">
        <v>467.39</v>
      </c>
      <c r="Y2345">
        <v>0</v>
      </c>
      <c r="Z2345" s="5">
        <v>449.41</v>
      </c>
      <c r="AA2345" s="3">
        <v>240</v>
      </c>
      <c r="AB2345" s="5">
        <v>107858.4</v>
      </c>
      <c r="AC2345">
        <v>449.41</v>
      </c>
      <c r="AD2345">
        <v>240</v>
      </c>
      <c r="AE2345" s="1">
        <v>107858.4</v>
      </c>
      <c r="AF2345">
        <v>0</v>
      </c>
      <c r="AJ2345">
        <v>0</v>
      </c>
      <c r="AK2345">
        <v>0</v>
      </c>
      <c r="AL2345">
        <v>0</v>
      </c>
      <c r="AM2345">
        <v>0</v>
      </c>
      <c r="AN2345">
        <v>0</v>
      </c>
      <c r="AO2345">
        <v>0</v>
      </c>
      <c r="AP2345" s="2">
        <v>42831</v>
      </c>
      <c r="AQ2345" t="s">
        <v>72</v>
      </c>
      <c r="AR2345" t="s">
        <v>72</v>
      </c>
      <c r="AS2345">
        <v>173</v>
      </c>
      <c r="AT2345" s="4">
        <v>42766</v>
      </c>
      <c r="AU2345" t="s">
        <v>73</v>
      </c>
      <c r="AV2345">
        <v>173</v>
      </c>
      <c r="AW2345" s="4">
        <v>42766</v>
      </c>
      <c r="BD2345">
        <v>0</v>
      </c>
      <c r="BN2345" t="s">
        <v>74</v>
      </c>
    </row>
    <row r="2346" spans="1:66">
      <c r="A2346">
        <v>106559</v>
      </c>
      <c r="B2346" t="s">
        <v>492</v>
      </c>
      <c r="C2346" s="1">
        <v>43300101</v>
      </c>
      <c r="D2346" t="s">
        <v>67</v>
      </c>
      <c r="H2346" t="str">
        <f t="shared" si="304"/>
        <v>08418370964</v>
      </c>
      <c r="I2346" t="str">
        <f t="shared" si="304"/>
        <v>08418370964</v>
      </c>
      <c r="K2346" t="str">
        <f>""</f>
        <v/>
      </c>
      <c r="M2346" t="s">
        <v>68</v>
      </c>
      <c r="N2346" t="str">
        <f t="shared" si="305"/>
        <v>FOR</v>
      </c>
      <c r="O2346" t="s">
        <v>69</v>
      </c>
      <c r="P2346" t="s">
        <v>75</v>
      </c>
      <c r="Q2346">
        <v>2016</v>
      </c>
      <c r="R2346" s="4">
        <v>42490</v>
      </c>
      <c r="S2346" s="2">
        <v>42556</v>
      </c>
      <c r="T2346" s="2">
        <v>42496</v>
      </c>
      <c r="U2346" s="4">
        <v>42556</v>
      </c>
      <c r="V2346" t="s">
        <v>71</v>
      </c>
      <c r="W2346" t="str">
        <f>"             0504215"</f>
        <v xml:space="preserve">             0504215</v>
      </c>
      <c r="X2346" s="1">
        <v>4221.53</v>
      </c>
      <c r="Y2346">
        <v>0</v>
      </c>
      <c r="Z2346" s="5">
        <v>4059.16</v>
      </c>
      <c r="AA2346" s="3">
        <v>224</v>
      </c>
      <c r="AB2346" s="5">
        <v>909251.84</v>
      </c>
      <c r="AC2346" s="1">
        <v>4059.16</v>
      </c>
      <c r="AD2346">
        <v>224</v>
      </c>
      <c r="AE2346" s="1">
        <v>909251.84</v>
      </c>
      <c r="AF2346">
        <v>0</v>
      </c>
      <c r="AJ2346">
        <v>0</v>
      </c>
      <c r="AK2346">
        <v>0</v>
      </c>
      <c r="AL2346">
        <v>0</v>
      </c>
      <c r="AM2346">
        <v>0</v>
      </c>
      <c r="AN2346">
        <v>0</v>
      </c>
      <c r="AO2346">
        <v>0</v>
      </c>
      <c r="AP2346" s="2">
        <v>42831</v>
      </c>
      <c r="AQ2346" t="s">
        <v>72</v>
      </c>
      <c r="AR2346" t="s">
        <v>72</v>
      </c>
      <c r="AS2346">
        <v>432</v>
      </c>
      <c r="AT2346" s="4">
        <v>42780</v>
      </c>
      <c r="AU2346" t="s">
        <v>73</v>
      </c>
      <c r="AV2346">
        <v>432</v>
      </c>
      <c r="AW2346" s="4">
        <v>42780</v>
      </c>
      <c r="BD2346">
        <v>0</v>
      </c>
      <c r="BN2346" t="s">
        <v>74</v>
      </c>
    </row>
    <row r="2347" spans="1:66">
      <c r="A2347">
        <v>106559</v>
      </c>
      <c r="B2347" t="s">
        <v>492</v>
      </c>
      <c r="C2347" s="1">
        <v>43300101</v>
      </c>
      <c r="D2347" t="s">
        <v>67</v>
      </c>
      <c r="H2347" t="str">
        <f t="shared" si="304"/>
        <v>08418370964</v>
      </c>
      <c r="I2347" t="str">
        <f t="shared" si="304"/>
        <v>08418370964</v>
      </c>
      <c r="K2347" t="str">
        <f>""</f>
        <v/>
      </c>
      <c r="M2347" t="s">
        <v>68</v>
      </c>
      <c r="N2347" t="str">
        <f t="shared" si="305"/>
        <v>FOR</v>
      </c>
      <c r="O2347" t="s">
        <v>69</v>
      </c>
      <c r="P2347" t="s">
        <v>75</v>
      </c>
      <c r="Q2347">
        <v>2016</v>
      </c>
      <c r="R2347" s="4">
        <v>42490</v>
      </c>
      <c r="S2347" s="2">
        <v>42556</v>
      </c>
      <c r="T2347" s="2">
        <v>42496</v>
      </c>
      <c r="U2347" s="4">
        <v>42556</v>
      </c>
      <c r="V2347" t="s">
        <v>71</v>
      </c>
      <c r="W2347" t="str">
        <f>"             0504216"</f>
        <v xml:space="preserve">             0504216</v>
      </c>
      <c r="X2347">
        <v>897.07</v>
      </c>
      <c r="Y2347">
        <v>0</v>
      </c>
      <c r="Z2347" s="5">
        <v>862.57</v>
      </c>
      <c r="AA2347" s="3">
        <v>224</v>
      </c>
      <c r="AB2347" s="5">
        <v>193215.68</v>
      </c>
      <c r="AC2347">
        <v>862.57</v>
      </c>
      <c r="AD2347">
        <v>224</v>
      </c>
      <c r="AE2347" s="1">
        <v>193215.68</v>
      </c>
      <c r="AF2347">
        <v>0</v>
      </c>
      <c r="AJ2347">
        <v>0</v>
      </c>
      <c r="AK2347">
        <v>0</v>
      </c>
      <c r="AL2347">
        <v>0</v>
      </c>
      <c r="AM2347">
        <v>0</v>
      </c>
      <c r="AN2347">
        <v>0</v>
      </c>
      <c r="AO2347">
        <v>0</v>
      </c>
      <c r="AP2347" s="2">
        <v>42831</v>
      </c>
      <c r="AQ2347" t="s">
        <v>72</v>
      </c>
      <c r="AR2347" t="s">
        <v>72</v>
      </c>
      <c r="AS2347">
        <v>432</v>
      </c>
      <c r="AT2347" s="4">
        <v>42780</v>
      </c>
      <c r="AU2347" t="s">
        <v>73</v>
      </c>
      <c r="AV2347">
        <v>432</v>
      </c>
      <c r="AW2347" s="4">
        <v>42780</v>
      </c>
      <c r="BD2347">
        <v>0</v>
      </c>
      <c r="BN2347" t="s">
        <v>74</v>
      </c>
    </row>
    <row r="2348" spans="1:66">
      <c r="A2348">
        <v>106559</v>
      </c>
      <c r="B2348" t="s">
        <v>492</v>
      </c>
      <c r="C2348" s="1">
        <v>43300101</v>
      </c>
      <c r="D2348" t="s">
        <v>67</v>
      </c>
      <c r="H2348" t="str">
        <f t="shared" si="304"/>
        <v>08418370964</v>
      </c>
      <c r="I2348" t="str">
        <f t="shared" si="304"/>
        <v>08418370964</v>
      </c>
      <c r="K2348" t="str">
        <f>""</f>
        <v/>
      </c>
      <c r="M2348" t="s">
        <v>68</v>
      </c>
      <c r="N2348" t="str">
        <f t="shared" si="305"/>
        <v>FOR</v>
      </c>
      <c r="O2348" t="s">
        <v>69</v>
      </c>
      <c r="P2348" t="s">
        <v>75</v>
      </c>
      <c r="Q2348">
        <v>2016</v>
      </c>
      <c r="R2348" s="4">
        <v>42521</v>
      </c>
      <c r="S2348" s="2">
        <v>42556</v>
      </c>
      <c r="T2348" s="2">
        <v>42527</v>
      </c>
      <c r="U2348" s="4">
        <v>42587</v>
      </c>
      <c r="V2348" t="s">
        <v>71</v>
      </c>
      <c r="W2348" t="str">
        <f>"             0505403"</f>
        <v xml:space="preserve">             0505403</v>
      </c>
      <c r="X2348" s="1">
        <v>3889.84</v>
      </c>
      <c r="Y2348">
        <v>0</v>
      </c>
      <c r="Z2348" s="5">
        <v>3740.23</v>
      </c>
      <c r="AA2348" s="3">
        <v>208</v>
      </c>
      <c r="AB2348" s="5">
        <v>777967.84</v>
      </c>
      <c r="AC2348" s="1">
        <v>3740.23</v>
      </c>
      <c r="AD2348">
        <v>208</v>
      </c>
      <c r="AE2348" s="1">
        <v>777967.84</v>
      </c>
      <c r="AF2348">
        <v>149.61000000000001</v>
      </c>
      <c r="AJ2348">
        <v>0</v>
      </c>
      <c r="AK2348">
        <v>0</v>
      </c>
      <c r="AL2348">
        <v>0</v>
      </c>
      <c r="AM2348">
        <v>0</v>
      </c>
      <c r="AN2348">
        <v>0</v>
      </c>
      <c r="AO2348">
        <v>0</v>
      </c>
      <c r="AP2348" s="2">
        <v>42831</v>
      </c>
      <c r="AQ2348" t="s">
        <v>72</v>
      </c>
      <c r="AR2348" t="s">
        <v>72</v>
      </c>
      <c r="AS2348">
        <v>639</v>
      </c>
      <c r="AT2348" s="4">
        <v>42795</v>
      </c>
      <c r="AU2348" t="s">
        <v>73</v>
      </c>
      <c r="AV2348">
        <v>639</v>
      </c>
      <c r="AW2348" s="4">
        <v>42795</v>
      </c>
      <c r="BD2348">
        <v>149.61000000000001</v>
      </c>
      <c r="BN2348" t="s">
        <v>74</v>
      </c>
    </row>
    <row r="2349" spans="1:66">
      <c r="A2349">
        <v>106559</v>
      </c>
      <c r="B2349" t="s">
        <v>492</v>
      </c>
      <c r="C2349" s="1">
        <v>43300101</v>
      </c>
      <c r="D2349" t="s">
        <v>67</v>
      </c>
      <c r="H2349" t="str">
        <f t="shared" si="304"/>
        <v>08418370964</v>
      </c>
      <c r="I2349" t="str">
        <f t="shared" si="304"/>
        <v>08418370964</v>
      </c>
      <c r="K2349" t="str">
        <f>""</f>
        <v/>
      </c>
      <c r="M2349" t="s">
        <v>68</v>
      </c>
      <c r="N2349" t="str">
        <f t="shared" si="305"/>
        <v>FOR</v>
      </c>
      <c r="O2349" t="s">
        <v>69</v>
      </c>
      <c r="P2349" t="s">
        <v>75</v>
      </c>
      <c r="Q2349">
        <v>2016</v>
      </c>
      <c r="R2349" s="4">
        <v>42521</v>
      </c>
      <c r="S2349" s="2">
        <v>42556</v>
      </c>
      <c r="T2349" s="2">
        <v>42527</v>
      </c>
      <c r="U2349" s="4">
        <v>42587</v>
      </c>
      <c r="V2349" t="s">
        <v>71</v>
      </c>
      <c r="W2349" t="str">
        <f>"             0505404"</f>
        <v xml:space="preserve">             0505404</v>
      </c>
      <c r="X2349">
        <v>897.08</v>
      </c>
      <c r="Y2349">
        <v>0</v>
      </c>
      <c r="Z2349" s="5">
        <v>862.58</v>
      </c>
      <c r="AA2349" s="3">
        <v>208</v>
      </c>
      <c r="AB2349" s="5">
        <v>179416.64</v>
      </c>
      <c r="AC2349">
        <v>862.58</v>
      </c>
      <c r="AD2349">
        <v>208</v>
      </c>
      <c r="AE2349" s="1">
        <v>179416.64</v>
      </c>
      <c r="AF2349">
        <v>34.5</v>
      </c>
      <c r="AJ2349">
        <v>0</v>
      </c>
      <c r="AK2349">
        <v>0</v>
      </c>
      <c r="AL2349">
        <v>0</v>
      </c>
      <c r="AM2349">
        <v>0</v>
      </c>
      <c r="AN2349">
        <v>0</v>
      </c>
      <c r="AO2349">
        <v>0</v>
      </c>
      <c r="AP2349" s="2">
        <v>42831</v>
      </c>
      <c r="AQ2349" t="s">
        <v>72</v>
      </c>
      <c r="AR2349" t="s">
        <v>72</v>
      </c>
      <c r="AS2349">
        <v>639</v>
      </c>
      <c r="AT2349" s="4">
        <v>42795</v>
      </c>
      <c r="AU2349" t="s">
        <v>73</v>
      </c>
      <c r="AV2349">
        <v>639</v>
      </c>
      <c r="AW2349" s="4">
        <v>42795</v>
      </c>
      <c r="BD2349">
        <v>34.5</v>
      </c>
      <c r="BN2349" t="s">
        <v>74</v>
      </c>
    </row>
    <row r="2350" spans="1:66">
      <c r="A2350">
        <v>106565</v>
      </c>
      <c r="B2350" t="s">
        <v>493</v>
      </c>
      <c r="C2350" s="1">
        <v>43300101</v>
      </c>
      <c r="D2350" t="s">
        <v>67</v>
      </c>
      <c r="H2350" t="str">
        <f>"05941670969"</f>
        <v>05941670969</v>
      </c>
      <c r="I2350" t="str">
        <f>"05941670969"</f>
        <v>05941670969</v>
      </c>
      <c r="K2350" t="str">
        <f>""</f>
        <v/>
      </c>
      <c r="M2350" t="s">
        <v>68</v>
      </c>
      <c r="N2350" t="str">
        <f t="shared" si="305"/>
        <v>FOR</v>
      </c>
      <c r="O2350" t="s">
        <v>69</v>
      </c>
      <c r="P2350" t="s">
        <v>75</v>
      </c>
      <c r="Q2350">
        <v>2016</v>
      </c>
      <c r="R2350" s="4">
        <v>42655</v>
      </c>
      <c r="S2350" s="2">
        <v>42664</v>
      </c>
      <c r="T2350" s="2">
        <v>42662</v>
      </c>
      <c r="U2350" s="4">
        <v>42722</v>
      </c>
      <c r="V2350" t="s">
        <v>71</v>
      </c>
      <c r="W2350" t="str">
        <f>"          3216004295"</f>
        <v xml:space="preserve">          3216004295</v>
      </c>
      <c r="X2350" s="1">
        <v>2090</v>
      </c>
      <c r="Y2350">
        <v>0</v>
      </c>
      <c r="Z2350" s="5">
        <v>1900</v>
      </c>
      <c r="AA2350" s="3">
        <v>46</v>
      </c>
      <c r="AB2350" s="5">
        <v>87400</v>
      </c>
      <c r="AC2350" s="1">
        <v>1900</v>
      </c>
      <c r="AD2350">
        <v>46</v>
      </c>
      <c r="AE2350" s="1">
        <v>87400</v>
      </c>
      <c r="AF2350">
        <v>0</v>
      </c>
      <c r="AJ2350">
        <v>0</v>
      </c>
      <c r="AK2350">
        <v>0</v>
      </c>
      <c r="AL2350">
        <v>0</v>
      </c>
      <c r="AM2350">
        <v>0</v>
      </c>
      <c r="AN2350">
        <v>0</v>
      </c>
      <c r="AO2350">
        <v>0</v>
      </c>
      <c r="AP2350" s="2">
        <v>42831</v>
      </c>
      <c r="AQ2350" t="s">
        <v>72</v>
      </c>
      <c r="AR2350" t="s">
        <v>72</v>
      </c>
      <c r="AS2350">
        <v>199</v>
      </c>
      <c r="AT2350" s="4">
        <v>42768</v>
      </c>
      <c r="AU2350" t="s">
        <v>73</v>
      </c>
      <c r="AV2350">
        <v>199</v>
      </c>
      <c r="AW2350" s="4">
        <v>42768</v>
      </c>
      <c r="BD2350">
        <v>0</v>
      </c>
      <c r="BN2350" t="s">
        <v>74</v>
      </c>
    </row>
    <row r="2351" spans="1:66">
      <c r="A2351">
        <v>106565</v>
      </c>
      <c r="B2351" t="s">
        <v>493</v>
      </c>
      <c r="C2351" s="1">
        <v>43300101</v>
      </c>
      <c r="D2351" t="s">
        <v>67</v>
      </c>
      <c r="H2351" t="str">
        <f>"05941670969"</f>
        <v>05941670969</v>
      </c>
      <c r="I2351" t="str">
        <f>"05941670969"</f>
        <v>05941670969</v>
      </c>
      <c r="K2351" t="str">
        <f>""</f>
        <v/>
      </c>
      <c r="M2351" t="s">
        <v>68</v>
      </c>
      <c r="N2351" t="str">
        <f t="shared" si="305"/>
        <v>FOR</v>
      </c>
      <c r="O2351" t="s">
        <v>69</v>
      </c>
      <c r="P2351" t="s">
        <v>75</v>
      </c>
      <c r="Q2351">
        <v>2016</v>
      </c>
      <c r="R2351" s="4">
        <v>42732</v>
      </c>
      <c r="S2351" s="2">
        <v>42735</v>
      </c>
      <c r="T2351" s="2">
        <v>42734</v>
      </c>
      <c r="U2351" s="4">
        <v>42794</v>
      </c>
      <c r="V2351" t="s">
        <v>71</v>
      </c>
      <c r="W2351" t="str">
        <f>"          3216005494"</f>
        <v xml:space="preserve">          3216005494</v>
      </c>
      <c r="X2351" s="1">
        <v>2090</v>
      </c>
      <c r="Y2351">
        <v>0</v>
      </c>
      <c r="Z2351" s="5">
        <v>1900</v>
      </c>
      <c r="AA2351" s="3">
        <v>-26</v>
      </c>
      <c r="AB2351" s="5">
        <v>-49400</v>
      </c>
      <c r="AC2351" s="1">
        <v>1900</v>
      </c>
      <c r="AD2351">
        <v>-26</v>
      </c>
      <c r="AE2351" s="1">
        <v>-49400</v>
      </c>
      <c r="AF2351">
        <v>0</v>
      </c>
      <c r="AJ2351">
        <v>0</v>
      </c>
      <c r="AK2351">
        <v>0</v>
      </c>
      <c r="AL2351">
        <v>0</v>
      </c>
      <c r="AM2351">
        <v>0</v>
      </c>
      <c r="AN2351">
        <v>0</v>
      </c>
      <c r="AO2351">
        <v>0</v>
      </c>
      <c r="AP2351" s="2">
        <v>42831</v>
      </c>
      <c r="AQ2351" t="s">
        <v>72</v>
      </c>
      <c r="AR2351" t="s">
        <v>72</v>
      </c>
      <c r="AS2351">
        <v>199</v>
      </c>
      <c r="AT2351" s="4">
        <v>42768</v>
      </c>
      <c r="AV2351">
        <v>199</v>
      </c>
      <c r="AW2351" s="4">
        <v>42768</v>
      </c>
      <c r="BD2351">
        <v>0</v>
      </c>
      <c r="BN2351" t="s">
        <v>74</v>
      </c>
    </row>
    <row r="2352" spans="1:66">
      <c r="A2352">
        <v>106570</v>
      </c>
      <c r="B2352" t="s">
        <v>494</v>
      </c>
      <c r="C2352" s="1">
        <v>43300101</v>
      </c>
      <c r="D2352" t="s">
        <v>67</v>
      </c>
      <c r="H2352" t="str">
        <f t="shared" ref="H2352:I2381" si="306">"01617610629"</f>
        <v>01617610629</v>
      </c>
      <c r="I2352" t="str">
        <f t="shared" si="306"/>
        <v>01617610629</v>
      </c>
      <c r="K2352" t="str">
        <f>""</f>
        <v/>
      </c>
      <c r="M2352" t="s">
        <v>68</v>
      </c>
      <c r="N2352" t="str">
        <f t="shared" si="305"/>
        <v>FOR</v>
      </c>
      <c r="O2352" t="s">
        <v>69</v>
      </c>
      <c r="P2352" t="s">
        <v>75</v>
      </c>
      <c r="Q2352">
        <v>2016</v>
      </c>
      <c r="R2352" s="4">
        <v>42520</v>
      </c>
      <c r="S2352" s="2">
        <v>42521</v>
      </c>
      <c r="T2352" s="2">
        <v>42520</v>
      </c>
      <c r="U2352" s="4">
        <v>42580</v>
      </c>
      <c r="V2352" t="s">
        <v>71</v>
      </c>
      <c r="W2352" t="str">
        <f>"        2016    70/a"</f>
        <v xml:space="preserve">        2016    70/a</v>
      </c>
      <c r="X2352">
        <v>61</v>
      </c>
      <c r="Y2352">
        <v>0</v>
      </c>
      <c r="Z2352" s="5">
        <v>50</v>
      </c>
      <c r="AA2352" s="3">
        <v>192</v>
      </c>
      <c r="AB2352" s="5">
        <v>9600</v>
      </c>
      <c r="AC2352">
        <v>50</v>
      </c>
      <c r="AD2352">
        <v>192</v>
      </c>
      <c r="AE2352" s="1">
        <v>9600</v>
      </c>
      <c r="AF2352">
        <v>11</v>
      </c>
      <c r="AJ2352">
        <v>0</v>
      </c>
      <c r="AK2352">
        <v>0</v>
      </c>
      <c r="AL2352">
        <v>0</v>
      </c>
      <c r="AM2352">
        <v>0</v>
      </c>
      <c r="AN2352">
        <v>0</v>
      </c>
      <c r="AO2352">
        <v>0</v>
      </c>
      <c r="AP2352" s="2">
        <v>42831</v>
      </c>
      <c r="AQ2352" t="s">
        <v>72</v>
      </c>
      <c r="AR2352" t="s">
        <v>72</v>
      </c>
      <c r="AS2352">
        <v>292</v>
      </c>
      <c r="AT2352" s="4">
        <v>42772</v>
      </c>
      <c r="AU2352" t="s">
        <v>73</v>
      </c>
      <c r="AV2352">
        <v>292</v>
      </c>
      <c r="AW2352" s="4">
        <v>42772</v>
      </c>
      <c r="BD2352">
        <v>11</v>
      </c>
      <c r="BN2352" t="s">
        <v>74</v>
      </c>
    </row>
    <row r="2353" spans="1:66">
      <c r="A2353">
        <v>106570</v>
      </c>
      <c r="B2353" t="s">
        <v>494</v>
      </c>
      <c r="C2353" s="1">
        <v>43300101</v>
      </c>
      <c r="D2353" t="s">
        <v>67</v>
      </c>
      <c r="H2353" t="str">
        <f t="shared" si="306"/>
        <v>01617610629</v>
      </c>
      <c r="I2353" t="str">
        <f t="shared" si="306"/>
        <v>01617610629</v>
      </c>
      <c r="K2353" t="str">
        <f>""</f>
        <v/>
      </c>
      <c r="M2353" t="s">
        <v>68</v>
      </c>
      <c r="N2353" t="str">
        <f t="shared" si="305"/>
        <v>FOR</v>
      </c>
      <c r="O2353" t="s">
        <v>69</v>
      </c>
      <c r="P2353" t="s">
        <v>75</v>
      </c>
      <c r="Q2353">
        <v>2016</v>
      </c>
      <c r="R2353" s="4">
        <v>42529</v>
      </c>
      <c r="S2353" s="2">
        <v>42529</v>
      </c>
      <c r="T2353" s="2">
        <v>42529</v>
      </c>
      <c r="U2353" s="4">
        <v>42589</v>
      </c>
      <c r="V2353" t="s">
        <v>71</v>
      </c>
      <c r="W2353" t="str">
        <f>"        2016    71/a"</f>
        <v xml:space="preserve">        2016    71/a</v>
      </c>
      <c r="X2353">
        <v>915</v>
      </c>
      <c r="Y2353">
        <v>0</v>
      </c>
      <c r="Z2353" s="5">
        <v>750</v>
      </c>
      <c r="AA2353" s="3">
        <v>183</v>
      </c>
      <c r="AB2353" s="5">
        <v>137250</v>
      </c>
      <c r="AC2353">
        <v>750</v>
      </c>
      <c r="AD2353">
        <v>183</v>
      </c>
      <c r="AE2353" s="1">
        <v>137250</v>
      </c>
      <c r="AF2353">
        <v>165</v>
      </c>
      <c r="AJ2353">
        <v>0</v>
      </c>
      <c r="AK2353">
        <v>0</v>
      </c>
      <c r="AL2353">
        <v>0</v>
      </c>
      <c r="AM2353">
        <v>0</v>
      </c>
      <c r="AN2353">
        <v>0</v>
      </c>
      <c r="AO2353">
        <v>0</v>
      </c>
      <c r="AP2353" s="2">
        <v>42831</v>
      </c>
      <c r="AQ2353" t="s">
        <v>72</v>
      </c>
      <c r="AR2353" t="s">
        <v>72</v>
      </c>
      <c r="AS2353">
        <v>292</v>
      </c>
      <c r="AT2353" s="4">
        <v>42772</v>
      </c>
      <c r="AU2353" t="s">
        <v>73</v>
      </c>
      <c r="AV2353">
        <v>292</v>
      </c>
      <c r="AW2353" s="4">
        <v>42772</v>
      </c>
      <c r="BD2353">
        <v>165</v>
      </c>
      <c r="BN2353" t="s">
        <v>74</v>
      </c>
    </row>
    <row r="2354" spans="1:66">
      <c r="A2354">
        <v>106570</v>
      </c>
      <c r="B2354" t="s">
        <v>494</v>
      </c>
      <c r="C2354" s="1">
        <v>43300101</v>
      </c>
      <c r="D2354" t="s">
        <v>67</v>
      </c>
      <c r="H2354" t="str">
        <f t="shared" si="306"/>
        <v>01617610629</v>
      </c>
      <c r="I2354" t="str">
        <f t="shared" si="306"/>
        <v>01617610629</v>
      </c>
      <c r="K2354" t="str">
        <f>""</f>
        <v/>
      </c>
      <c r="M2354" t="s">
        <v>68</v>
      </c>
      <c r="N2354" t="str">
        <f t="shared" si="305"/>
        <v>FOR</v>
      </c>
      <c r="O2354" t="s">
        <v>69</v>
      </c>
      <c r="P2354" t="s">
        <v>75</v>
      </c>
      <c r="Q2354">
        <v>2016</v>
      </c>
      <c r="R2354" s="4">
        <v>42529</v>
      </c>
      <c r="S2354" s="2">
        <v>42529</v>
      </c>
      <c r="T2354" s="2">
        <v>42529</v>
      </c>
      <c r="U2354" s="4">
        <v>42589</v>
      </c>
      <c r="V2354" t="s">
        <v>71</v>
      </c>
      <c r="W2354" t="str">
        <f>"        2016    73/a"</f>
        <v xml:space="preserve">        2016    73/a</v>
      </c>
      <c r="X2354">
        <v>170.8</v>
      </c>
      <c r="Y2354">
        <v>0</v>
      </c>
      <c r="Z2354" s="5">
        <v>140</v>
      </c>
      <c r="AA2354" s="3">
        <v>183</v>
      </c>
      <c r="AB2354" s="5">
        <v>25620</v>
      </c>
      <c r="AC2354">
        <v>140</v>
      </c>
      <c r="AD2354">
        <v>183</v>
      </c>
      <c r="AE2354" s="1">
        <v>25620</v>
      </c>
      <c r="AF2354">
        <v>30.8</v>
      </c>
      <c r="AJ2354">
        <v>0</v>
      </c>
      <c r="AK2354">
        <v>0</v>
      </c>
      <c r="AL2354">
        <v>0</v>
      </c>
      <c r="AM2354">
        <v>0</v>
      </c>
      <c r="AN2354">
        <v>0</v>
      </c>
      <c r="AO2354">
        <v>0</v>
      </c>
      <c r="AP2354" s="2">
        <v>42831</v>
      </c>
      <c r="AQ2354" t="s">
        <v>72</v>
      </c>
      <c r="AR2354" t="s">
        <v>72</v>
      </c>
      <c r="AS2354">
        <v>292</v>
      </c>
      <c r="AT2354" s="4">
        <v>42772</v>
      </c>
      <c r="AU2354" t="s">
        <v>73</v>
      </c>
      <c r="AV2354">
        <v>292</v>
      </c>
      <c r="AW2354" s="4">
        <v>42772</v>
      </c>
      <c r="BD2354">
        <v>30.8</v>
      </c>
      <c r="BN2354" t="s">
        <v>74</v>
      </c>
    </row>
    <row r="2355" spans="1:66">
      <c r="A2355">
        <v>106570</v>
      </c>
      <c r="B2355" t="s">
        <v>494</v>
      </c>
      <c r="C2355" s="1">
        <v>43300101</v>
      </c>
      <c r="D2355" t="s">
        <v>67</v>
      </c>
      <c r="H2355" t="str">
        <f t="shared" si="306"/>
        <v>01617610629</v>
      </c>
      <c r="I2355" t="str">
        <f t="shared" si="306"/>
        <v>01617610629</v>
      </c>
      <c r="K2355" t="str">
        <f>""</f>
        <v/>
      </c>
      <c r="M2355" t="s">
        <v>68</v>
      </c>
      <c r="N2355" t="str">
        <f t="shared" si="305"/>
        <v>FOR</v>
      </c>
      <c r="O2355" t="s">
        <v>69</v>
      </c>
      <c r="P2355" t="s">
        <v>75</v>
      </c>
      <c r="Q2355">
        <v>2016</v>
      </c>
      <c r="R2355" s="4">
        <v>42529</v>
      </c>
      <c r="S2355" s="2">
        <v>42529</v>
      </c>
      <c r="T2355" s="2">
        <v>42529</v>
      </c>
      <c r="U2355" s="4">
        <v>42589</v>
      </c>
      <c r="V2355" t="s">
        <v>71</v>
      </c>
      <c r="W2355" t="str">
        <f>"        2016    74/a"</f>
        <v xml:space="preserve">        2016    74/a</v>
      </c>
      <c r="X2355">
        <v>488</v>
      </c>
      <c r="Y2355">
        <v>0</v>
      </c>
      <c r="Z2355" s="5">
        <v>400</v>
      </c>
      <c r="AA2355" s="3">
        <v>183</v>
      </c>
      <c r="AB2355" s="5">
        <v>73200</v>
      </c>
      <c r="AC2355">
        <v>400</v>
      </c>
      <c r="AD2355">
        <v>183</v>
      </c>
      <c r="AE2355" s="1">
        <v>73200</v>
      </c>
      <c r="AF2355">
        <v>88</v>
      </c>
      <c r="AJ2355">
        <v>0</v>
      </c>
      <c r="AK2355">
        <v>0</v>
      </c>
      <c r="AL2355">
        <v>0</v>
      </c>
      <c r="AM2355">
        <v>0</v>
      </c>
      <c r="AN2355">
        <v>0</v>
      </c>
      <c r="AO2355">
        <v>0</v>
      </c>
      <c r="AP2355" s="2">
        <v>42831</v>
      </c>
      <c r="AQ2355" t="s">
        <v>72</v>
      </c>
      <c r="AR2355" t="s">
        <v>72</v>
      </c>
      <c r="AS2355">
        <v>292</v>
      </c>
      <c r="AT2355" s="4">
        <v>42772</v>
      </c>
      <c r="AU2355" t="s">
        <v>73</v>
      </c>
      <c r="AV2355">
        <v>292</v>
      </c>
      <c r="AW2355" s="4">
        <v>42772</v>
      </c>
      <c r="BD2355">
        <v>88</v>
      </c>
      <c r="BN2355" t="s">
        <v>74</v>
      </c>
    </row>
    <row r="2356" spans="1:66">
      <c r="A2356">
        <v>106570</v>
      </c>
      <c r="B2356" t="s">
        <v>494</v>
      </c>
      <c r="C2356" s="1">
        <v>43300101</v>
      </c>
      <c r="D2356" t="s">
        <v>67</v>
      </c>
      <c r="H2356" t="str">
        <f t="shared" si="306"/>
        <v>01617610629</v>
      </c>
      <c r="I2356" t="str">
        <f t="shared" si="306"/>
        <v>01617610629</v>
      </c>
      <c r="K2356" t="str">
        <f>""</f>
        <v/>
      </c>
      <c r="M2356" t="s">
        <v>68</v>
      </c>
      <c r="N2356" t="str">
        <f t="shared" si="305"/>
        <v>FOR</v>
      </c>
      <c r="O2356" t="s">
        <v>69</v>
      </c>
      <c r="P2356" t="s">
        <v>75</v>
      </c>
      <c r="Q2356">
        <v>2016</v>
      </c>
      <c r="R2356" s="4">
        <v>42529</v>
      </c>
      <c r="S2356" s="2">
        <v>42529</v>
      </c>
      <c r="T2356" s="2">
        <v>42529</v>
      </c>
      <c r="U2356" s="4">
        <v>42589</v>
      </c>
      <c r="V2356" t="s">
        <v>71</v>
      </c>
      <c r="W2356" t="str">
        <f>"        2016    75/a"</f>
        <v xml:space="preserve">        2016    75/a</v>
      </c>
      <c r="X2356">
        <v>707.6</v>
      </c>
      <c r="Y2356">
        <v>0</v>
      </c>
      <c r="Z2356" s="5">
        <v>580</v>
      </c>
      <c r="AA2356" s="3">
        <v>183</v>
      </c>
      <c r="AB2356" s="5">
        <v>106140</v>
      </c>
      <c r="AC2356">
        <v>580</v>
      </c>
      <c r="AD2356">
        <v>183</v>
      </c>
      <c r="AE2356" s="1">
        <v>106140</v>
      </c>
      <c r="AF2356">
        <v>127.6</v>
      </c>
      <c r="AJ2356">
        <v>0</v>
      </c>
      <c r="AK2356">
        <v>0</v>
      </c>
      <c r="AL2356">
        <v>0</v>
      </c>
      <c r="AM2356">
        <v>0</v>
      </c>
      <c r="AN2356">
        <v>0</v>
      </c>
      <c r="AO2356">
        <v>0</v>
      </c>
      <c r="AP2356" s="2">
        <v>42831</v>
      </c>
      <c r="AQ2356" t="s">
        <v>72</v>
      </c>
      <c r="AR2356" t="s">
        <v>72</v>
      </c>
      <c r="AS2356">
        <v>292</v>
      </c>
      <c r="AT2356" s="4">
        <v>42772</v>
      </c>
      <c r="AU2356" t="s">
        <v>73</v>
      </c>
      <c r="AV2356">
        <v>292</v>
      </c>
      <c r="AW2356" s="4">
        <v>42772</v>
      </c>
      <c r="BD2356">
        <v>127.6</v>
      </c>
      <c r="BN2356" t="s">
        <v>74</v>
      </c>
    </row>
    <row r="2357" spans="1:66">
      <c r="A2357">
        <v>106570</v>
      </c>
      <c r="B2357" t="s">
        <v>494</v>
      </c>
      <c r="C2357" s="1">
        <v>43300101</v>
      </c>
      <c r="D2357" t="s">
        <v>67</v>
      </c>
      <c r="H2357" t="str">
        <f t="shared" si="306"/>
        <v>01617610629</v>
      </c>
      <c r="I2357" t="str">
        <f t="shared" si="306"/>
        <v>01617610629</v>
      </c>
      <c r="K2357" t="str">
        <f>""</f>
        <v/>
      </c>
      <c r="M2357" t="s">
        <v>68</v>
      </c>
      <c r="N2357" t="str">
        <f t="shared" si="305"/>
        <v>FOR</v>
      </c>
      <c r="O2357" t="s">
        <v>69</v>
      </c>
      <c r="P2357" t="s">
        <v>75</v>
      </c>
      <c r="Q2357">
        <v>2016</v>
      </c>
      <c r="R2357" s="4">
        <v>42529</v>
      </c>
      <c r="S2357" s="2">
        <v>42529</v>
      </c>
      <c r="T2357" s="2">
        <v>42529</v>
      </c>
      <c r="U2357" s="4">
        <v>42589</v>
      </c>
      <c r="V2357" t="s">
        <v>71</v>
      </c>
      <c r="W2357" t="str">
        <f>"        2016    77/a"</f>
        <v xml:space="preserve">        2016    77/a</v>
      </c>
      <c r="X2357">
        <v>247.66</v>
      </c>
      <c r="Y2357">
        <v>0</v>
      </c>
      <c r="Z2357" s="5">
        <v>203</v>
      </c>
      <c r="AA2357" s="3">
        <v>183</v>
      </c>
      <c r="AB2357" s="5">
        <v>37149</v>
      </c>
      <c r="AC2357">
        <v>203</v>
      </c>
      <c r="AD2357">
        <v>183</v>
      </c>
      <c r="AE2357" s="1">
        <v>37149</v>
      </c>
      <c r="AF2357">
        <v>44.66</v>
      </c>
      <c r="AJ2357">
        <v>0</v>
      </c>
      <c r="AK2357">
        <v>0</v>
      </c>
      <c r="AL2357">
        <v>0</v>
      </c>
      <c r="AM2357">
        <v>0</v>
      </c>
      <c r="AN2357">
        <v>0</v>
      </c>
      <c r="AO2357">
        <v>0</v>
      </c>
      <c r="AP2357" s="2">
        <v>42831</v>
      </c>
      <c r="AQ2357" t="s">
        <v>72</v>
      </c>
      <c r="AR2357" t="s">
        <v>72</v>
      </c>
      <c r="AS2357">
        <v>292</v>
      </c>
      <c r="AT2357" s="4">
        <v>42772</v>
      </c>
      <c r="AU2357" t="s">
        <v>73</v>
      </c>
      <c r="AV2357">
        <v>292</v>
      </c>
      <c r="AW2357" s="4">
        <v>42772</v>
      </c>
      <c r="BD2357">
        <v>44.66</v>
      </c>
      <c r="BN2357" t="s">
        <v>74</v>
      </c>
    </row>
    <row r="2358" spans="1:66">
      <c r="A2358">
        <v>106570</v>
      </c>
      <c r="B2358" t="s">
        <v>494</v>
      </c>
      <c r="C2358" s="1">
        <v>43300101</v>
      </c>
      <c r="D2358" t="s">
        <v>67</v>
      </c>
      <c r="H2358" t="str">
        <f t="shared" si="306"/>
        <v>01617610629</v>
      </c>
      <c r="I2358" t="str">
        <f t="shared" si="306"/>
        <v>01617610629</v>
      </c>
      <c r="K2358" t="str">
        <f>""</f>
        <v/>
      </c>
      <c r="M2358" t="s">
        <v>68</v>
      </c>
      <c r="N2358" t="str">
        <f t="shared" si="305"/>
        <v>FOR</v>
      </c>
      <c r="O2358" t="s">
        <v>69</v>
      </c>
      <c r="P2358" t="s">
        <v>75</v>
      </c>
      <c r="Q2358">
        <v>2016</v>
      </c>
      <c r="R2358" s="4">
        <v>42580</v>
      </c>
      <c r="S2358" s="2">
        <v>42580</v>
      </c>
      <c r="T2358" s="2">
        <v>42580</v>
      </c>
      <c r="U2358" s="4">
        <v>42640</v>
      </c>
      <c r="V2358" t="s">
        <v>71</v>
      </c>
      <c r="W2358" t="str">
        <f>"        2016    88/a"</f>
        <v xml:space="preserve">        2016    88/a</v>
      </c>
      <c r="X2358">
        <v>87.84</v>
      </c>
      <c r="Y2358">
        <v>0</v>
      </c>
      <c r="Z2358" s="5">
        <v>72</v>
      </c>
      <c r="AA2358" s="3">
        <v>132</v>
      </c>
      <c r="AB2358" s="5">
        <v>9504</v>
      </c>
      <c r="AC2358">
        <v>72</v>
      </c>
      <c r="AD2358">
        <v>132</v>
      </c>
      <c r="AE2358" s="1">
        <v>9504</v>
      </c>
      <c r="AF2358">
        <v>15.84</v>
      </c>
      <c r="AJ2358">
        <v>0</v>
      </c>
      <c r="AK2358">
        <v>0</v>
      </c>
      <c r="AL2358">
        <v>0</v>
      </c>
      <c r="AM2358">
        <v>0</v>
      </c>
      <c r="AN2358">
        <v>0</v>
      </c>
      <c r="AO2358">
        <v>0</v>
      </c>
      <c r="AP2358" s="2">
        <v>42831</v>
      </c>
      <c r="AQ2358" t="s">
        <v>72</v>
      </c>
      <c r="AR2358" t="s">
        <v>72</v>
      </c>
      <c r="AS2358">
        <v>292</v>
      </c>
      <c r="AT2358" s="4">
        <v>42772</v>
      </c>
      <c r="AU2358" t="s">
        <v>73</v>
      </c>
      <c r="AV2358">
        <v>292</v>
      </c>
      <c r="AW2358" s="4">
        <v>42772</v>
      </c>
      <c r="BD2358">
        <v>15.84</v>
      </c>
      <c r="BN2358" t="s">
        <v>74</v>
      </c>
    </row>
    <row r="2359" spans="1:66">
      <c r="A2359">
        <v>106570</v>
      </c>
      <c r="B2359" t="s">
        <v>494</v>
      </c>
      <c r="C2359" s="1">
        <v>43300101</v>
      </c>
      <c r="D2359" t="s">
        <v>67</v>
      </c>
      <c r="H2359" t="str">
        <f t="shared" si="306"/>
        <v>01617610629</v>
      </c>
      <c r="I2359" t="str">
        <f t="shared" si="306"/>
        <v>01617610629</v>
      </c>
      <c r="K2359" t="str">
        <f>""</f>
        <v/>
      </c>
      <c r="M2359" t="s">
        <v>68</v>
      </c>
      <c r="N2359" t="str">
        <f t="shared" si="305"/>
        <v>FOR</v>
      </c>
      <c r="O2359" t="s">
        <v>69</v>
      </c>
      <c r="P2359" t="s">
        <v>75</v>
      </c>
      <c r="Q2359">
        <v>2016</v>
      </c>
      <c r="R2359" s="4">
        <v>42580</v>
      </c>
      <c r="S2359" s="2">
        <v>42580</v>
      </c>
      <c r="T2359" s="2">
        <v>42580</v>
      </c>
      <c r="U2359" s="4">
        <v>42640</v>
      </c>
      <c r="V2359" t="s">
        <v>71</v>
      </c>
      <c r="W2359" t="str">
        <f>"        2016    89/a"</f>
        <v xml:space="preserve">        2016    89/a</v>
      </c>
      <c r="X2359">
        <v>74.42</v>
      </c>
      <c r="Y2359">
        <v>0</v>
      </c>
      <c r="Z2359" s="5">
        <v>61</v>
      </c>
      <c r="AA2359" s="3">
        <v>132</v>
      </c>
      <c r="AB2359" s="5">
        <v>8052</v>
      </c>
      <c r="AC2359">
        <v>61</v>
      </c>
      <c r="AD2359">
        <v>132</v>
      </c>
      <c r="AE2359" s="1">
        <v>8052</v>
      </c>
      <c r="AF2359">
        <v>13.42</v>
      </c>
      <c r="AJ2359">
        <v>0</v>
      </c>
      <c r="AK2359">
        <v>0</v>
      </c>
      <c r="AL2359">
        <v>0</v>
      </c>
      <c r="AM2359">
        <v>0</v>
      </c>
      <c r="AN2359">
        <v>0</v>
      </c>
      <c r="AO2359">
        <v>0</v>
      </c>
      <c r="AP2359" s="2">
        <v>42831</v>
      </c>
      <c r="AQ2359" t="s">
        <v>72</v>
      </c>
      <c r="AR2359" t="s">
        <v>72</v>
      </c>
      <c r="AS2359">
        <v>292</v>
      </c>
      <c r="AT2359" s="4">
        <v>42772</v>
      </c>
      <c r="AU2359" t="s">
        <v>73</v>
      </c>
      <c r="AV2359">
        <v>292</v>
      </c>
      <c r="AW2359" s="4">
        <v>42772</v>
      </c>
      <c r="BD2359">
        <v>13.42</v>
      </c>
      <c r="BN2359" t="s">
        <v>74</v>
      </c>
    </row>
    <row r="2360" spans="1:66">
      <c r="A2360">
        <v>106570</v>
      </c>
      <c r="B2360" t="s">
        <v>494</v>
      </c>
      <c r="C2360" s="1">
        <v>43300101</v>
      </c>
      <c r="D2360" t="s">
        <v>67</v>
      </c>
      <c r="H2360" t="str">
        <f t="shared" si="306"/>
        <v>01617610629</v>
      </c>
      <c r="I2360" t="str">
        <f t="shared" si="306"/>
        <v>01617610629</v>
      </c>
      <c r="K2360" t="str">
        <f>""</f>
        <v/>
      </c>
      <c r="M2360" t="s">
        <v>68</v>
      </c>
      <c r="N2360" t="str">
        <f t="shared" si="305"/>
        <v>FOR</v>
      </c>
      <c r="O2360" t="s">
        <v>69</v>
      </c>
      <c r="P2360" t="s">
        <v>75</v>
      </c>
      <c r="Q2360">
        <v>2016</v>
      </c>
      <c r="R2360" s="4">
        <v>42580</v>
      </c>
      <c r="S2360" s="2">
        <v>42580</v>
      </c>
      <c r="T2360" s="2">
        <v>42580</v>
      </c>
      <c r="U2360" s="4">
        <v>42640</v>
      </c>
      <c r="V2360" t="s">
        <v>71</v>
      </c>
      <c r="W2360" t="str">
        <f>"        2016    90/a"</f>
        <v xml:space="preserve">        2016    90/a</v>
      </c>
      <c r="X2360">
        <v>603.9</v>
      </c>
      <c r="Y2360">
        <v>0</v>
      </c>
      <c r="Z2360" s="5">
        <v>495</v>
      </c>
      <c r="AA2360" s="3">
        <v>132</v>
      </c>
      <c r="AB2360" s="5">
        <v>65340</v>
      </c>
      <c r="AC2360">
        <v>495</v>
      </c>
      <c r="AD2360">
        <v>132</v>
      </c>
      <c r="AE2360" s="1">
        <v>65340</v>
      </c>
      <c r="AF2360">
        <v>108.9</v>
      </c>
      <c r="AJ2360">
        <v>0</v>
      </c>
      <c r="AK2360">
        <v>0</v>
      </c>
      <c r="AL2360">
        <v>0</v>
      </c>
      <c r="AM2360">
        <v>0</v>
      </c>
      <c r="AN2360">
        <v>0</v>
      </c>
      <c r="AO2360">
        <v>0</v>
      </c>
      <c r="AP2360" s="2">
        <v>42831</v>
      </c>
      <c r="AQ2360" t="s">
        <v>72</v>
      </c>
      <c r="AR2360" t="s">
        <v>72</v>
      </c>
      <c r="AS2360">
        <v>292</v>
      </c>
      <c r="AT2360" s="4">
        <v>42772</v>
      </c>
      <c r="AU2360" t="s">
        <v>73</v>
      </c>
      <c r="AV2360">
        <v>292</v>
      </c>
      <c r="AW2360" s="4">
        <v>42772</v>
      </c>
      <c r="BD2360">
        <v>108.9</v>
      </c>
      <c r="BN2360" t="s">
        <v>74</v>
      </c>
    </row>
    <row r="2361" spans="1:66">
      <c r="A2361">
        <v>106570</v>
      </c>
      <c r="B2361" t="s">
        <v>494</v>
      </c>
      <c r="C2361" s="1">
        <v>43300101</v>
      </c>
      <c r="D2361" t="s">
        <v>67</v>
      </c>
      <c r="H2361" t="str">
        <f t="shared" si="306"/>
        <v>01617610629</v>
      </c>
      <c r="I2361" t="str">
        <f t="shared" si="306"/>
        <v>01617610629</v>
      </c>
      <c r="K2361" t="str">
        <f>""</f>
        <v/>
      </c>
      <c r="M2361" t="s">
        <v>68</v>
      </c>
      <c r="N2361" t="str">
        <f t="shared" si="305"/>
        <v>FOR</v>
      </c>
      <c r="O2361" t="s">
        <v>69</v>
      </c>
      <c r="P2361" t="s">
        <v>75</v>
      </c>
      <c r="Q2361">
        <v>2016</v>
      </c>
      <c r="R2361" s="4">
        <v>42580</v>
      </c>
      <c r="S2361" s="2">
        <v>42580</v>
      </c>
      <c r="T2361" s="2">
        <v>42580</v>
      </c>
      <c r="U2361" s="4">
        <v>42640</v>
      </c>
      <c r="V2361" t="s">
        <v>71</v>
      </c>
      <c r="W2361" t="str">
        <f>"        2016    91/a"</f>
        <v xml:space="preserve">        2016    91/a</v>
      </c>
      <c r="X2361">
        <v>732</v>
      </c>
      <c r="Y2361">
        <v>0</v>
      </c>
      <c r="Z2361" s="5">
        <v>600</v>
      </c>
      <c r="AA2361" s="3">
        <v>132</v>
      </c>
      <c r="AB2361" s="5">
        <v>79200</v>
      </c>
      <c r="AC2361">
        <v>600</v>
      </c>
      <c r="AD2361">
        <v>132</v>
      </c>
      <c r="AE2361" s="1">
        <v>79200</v>
      </c>
      <c r="AF2361">
        <v>132</v>
      </c>
      <c r="AJ2361">
        <v>0</v>
      </c>
      <c r="AK2361">
        <v>0</v>
      </c>
      <c r="AL2361">
        <v>0</v>
      </c>
      <c r="AM2361">
        <v>0</v>
      </c>
      <c r="AN2361">
        <v>0</v>
      </c>
      <c r="AO2361">
        <v>0</v>
      </c>
      <c r="AP2361" s="2">
        <v>42831</v>
      </c>
      <c r="AQ2361" t="s">
        <v>72</v>
      </c>
      <c r="AR2361" t="s">
        <v>72</v>
      </c>
      <c r="AS2361">
        <v>292</v>
      </c>
      <c r="AT2361" s="4">
        <v>42772</v>
      </c>
      <c r="AU2361" t="s">
        <v>73</v>
      </c>
      <c r="AV2361">
        <v>292</v>
      </c>
      <c r="AW2361" s="4">
        <v>42772</v>
      </c>
      <c r="BD2361">
        <v>132</v>
      </c>
      <c r="BN2361" t="s">
        <v>74</v>
      </c>
    </row>
    <row r="2362" spans="1:66">
      <c r="A2362">
        <v>106570</v>
      </c>
      <c r="B2362" t="s">
        <v>494</v>
      </c>
      <c r="C2362" s="1">
        <v>43300101</v>
      </c>
      <c r="D2362" t="s">
        <v>67</v>
      </c>
      <c r="H2362" t="str">
        <f t="shared" si="306"/>
        <v>01617610629</v>
      </c>
      <c r="I2362" t="str">
        <f t="shared" si="306"/>
        <v>01617610629</v>
      </c>
      <c r="K2362" t="str">
        <f>""</f>
        <v/>
      </c>
      <c r="M2362" t="s">
        <v>68</v>
      </c>
      <c r="N2362" t="str">
        <f t="shared" si="305"/>
        <v>FOR</v>
      </c>
      <c r="O2362" t="s">
        <v>69</v>
      </c>
      <c r="P2362" t="s">
        <v>75</v>
      </c>
      <c r="Q2362">
        <v>2016</v>
      </c>
      <c r="R2362" s="4">
        <v>42580</v>
      </c>
      <c r="S2362" s="2">
        <v>42580</v>
      </c>
      <c r="T2362" s="2">
        <v>42580</v>
      </c>
      <c r="U2362" s="4">
        <v>42640</v>
      </c>
      <c r="V2362" t="s">
        <v>71</v>
      </c>
      <c r="W2362" t="str">
        <f>"        2016    92/a"</f>
        <v xml:space="preserve">        2016    92/a</v>
      </c>
      <c r="X2362">
        <v>195.2</v>
      </c>
      <c r="Y2362">
        <v>0</v>
      </c>
      <c r="Z2362" s="5">
        <v>160</v>
      </c>
      <c r="AA2362" s="3">
        <v>132</v>
      </c>
      <c r="AB2362" s="5">
        <v>21120</v>
      </c>
      <c r="AC2362">
        <v>160</v>
      </c>
      <c r="AD2362">
        <v>132</v>
      </c>
      <c r="AE2362" s="1">
        <v>21120</v>
      </c>
      <c r="AF2362">
        <v>35.200000000000003</v>
      </c>
      <c r="AJ2362">
        <v>0</v>
      </c>
      <c r="AK2362">
        <v>0</v>
      </c>
      <c r="AL2362">
        <v>0</v>
      </c>
      <c r="AM2362">
        <v>0</v>
      </c>
      <c r="AN2362">
        <v>0</v>
      </c>
      <c r="AO2362">
        <v>0</v>
      </c>
      <c r="AP2362" s="2">
        <v>42831</v>
      </c>
      <c r="AQ2362" t="s">
        <v>72</v>
      </c>
      <c r="AR2362" t="s">
        <v>72</v>
      </c>
      <c r="AS2362">
        <v>292</v>
      </c>
      <c r="AT2362" s="4">
        <v>42772</v>
      </c>
      <c r="AU2362" t="s">
        <v>73</v>
      </c>
      <c r="AV2362">
        <v>292</v>
      </c>
      <c r="AW2362" s="4">
        <v>42772</v>
      </c>
      <c r="BD2362">
        <v>35.200000000000003</v>
      </c>
      <c r="BN2362" t="s">
        <v>74</v>
      </c>
    </row>
    <row r="2363" spans="1:66">
      <c r="A2363">
        <v>106570</v>
      </c>
      <c r="B2363" t="s">
        <v>494</v>
      </c>
      <c r="C2363" s="1">
        <v>43300101</v>
      </c>
      <c r="D2363" t="s">
        <v>67</v>
      </c>
      <c r="H2363" t="str">
        <f t="shared" si="306"/>
        <v>01617610629</v>
      </c>
      <c r="I2363" t="str">
        <f t="shared" si="306"/>
        <v>01617610629</v>
      </c>
      <c r="K2363" t="str">
        <f>""</f>
        <v/>
      </c>
      <c r="M2363" t="s">
        <v>68</v>
      </c>
      <c r="N2363" t="str">
        <f t="shared" si="305"/>
        <v>FOR</v>
      </c>
      <c r="O2363" t="s">
        <v>69</v>
      </c>
      <c r="P2363" t="s">
        <v>75</v>
      </c>
      <c r="Q2363">
        <v>2016</v>
      </c>
      <c r="R2363" s="4">
        <v>42580</v>
      </c>
      <c r="S2363" s="2">
        <v>42580</v>
      </c>
      <c r="T2363" s="2">
        <v>42580</v>
      </c>
      <c r="U2363" s="4">
        <v>42640</v>
      </c>
      <c r="V2363" t="s">
        <v>71</v>
      </c>
      <c r="W2363" t="str">
        <f>"        2016    93/a"</f>
        <v xml:space="preserve">        2016    93/a</v>
      </c>
      <c r="X2363">
        <v>512.4</v>
      </c>
      <c r="Y2363">
        <v>0</v>
      </c>
      <c r="Z2363" s="5">
        <v>420</v>
      </c>
      <c r="AA2363" s="3">
        <v>132</v>
      </c>
      <c r="AB2363" s="5">
        <v>55440</v>
      </c>
      <c r="AC2363">
        <v>420</v>
      </c>
      <c r="AD2363">
        <v>132</v>
      </c>
      <c r="AE2363" s="1">
        <v>55440</v>
      </c>
      <c r="AF2363">
        <v>92.4</v>
      </c>
      <c r="AJ2363">
        <v>0</v>
      </c>
      <c r="AK2363">
        <v>0</v>
      </c>
      <c r="AL2363">
        <v>0</v>
      </c>
      <c r="AM2363">
        <v>0</v>
      </c>
      <c r="AN2363">
        <v>0</v>
      </c>
      <c r="AO2363">
        <v>0</v>
      </c>
      <c r="AP2363" s="2">
        <v>42831</v>
      </c>
      <c r="AQ2363" t="s">
        <v>72</v>
      </c>
      <c r="AR2363" t="s">
        <v>72</v>
      </c>
      <c r="AS2363">
        <v>292</v>
      </c>
      <c r="AT2363" s="4">
        <v>42772</v>
      </c>
      <c r="AU2363" t="s">
        <v>73</v>
      </c>
      <c r="AV2363">
        <v>292</v>
      </c>
      <c r="AW2363" s="4">
        <v>42772</v>
      </c>
      <c r="BD2363">
        <v>92.4</v>
      </c>
      <c r="BN2363" t="s">
        <v>74</v>
      </c>
    </row>
    <row r="2364" spans="1:66">
      <c r="A2364">
        <v>106570</v>
      </c>
      <c r="B2364" t="s">
        <v>494</v>
      </c>
      <c r="C2364" s="1">
        <v>43300101</v>
      </c>
      <c r="D2364" t="s">
        <v>67</v>
      </c>
      <c r="H2364" t="str">
        <f t="shared" si="306"/>
        <v>01617610629</v>
      </c>
      <c r="I2364" t="str">
        <f t="shared" si="306"/>
        <v>01617610629</v>
      </c>
      <c r="K2364" t="str">
        <f>""</f>
        <v/>
      </c>
      <c r="M2364" t="s">
        <v>68</v>
      </c>
      <c r="N2364" t="str">
        <f t="shared" si="305"/>
        <v>FOR</v>
      </c>
      <c r="O2364" t="s">
        <v>69</v>
      </c>
      <c r="P2364" t="s">
        <v>75</v>
      </c>
      <c r="Q2364">
        <v>2016</v>
      </c>
      <c r="R2364" s="4">
        <v>42613</v>
      </c>
      <c r="S2364" s="2">
        <v>42614</v>
      </c>
      <c r="T2364" s="2">
        <v>42613</v>
      </c>
      <c r="U2364" s="4">
        <v>42673</v>
      </c>
      <c r="V2364" t="s">
        <v>71</v>
      </c>
      <c r="W2364" t="str">
        <f>"        2016    95/a"</f>
        <v xml:space="preserve">        2016    95/a</v>
      </c>
      <c r="X2364">
        <v>183</v>
      </c>
      <c r="Y2364">
        <v>0</v>
      </c>
      <c r="Z2364" s="5">
        <v>150</v>
      </c>
      <c r="AA2364" s="3">
        <v>99</v>
      </c>
      <c r="AB2364" s="5">
        <v>14850</v>
      </c>
      <c r="AC2364">
        <v>150</v>
      </c>
      <c r="AD2364">
        <v>99</v>
      </c>
      <c r="AE2364" s="1">
        <v>14850</v>
      </c>
      <c r="AF2364">
        <v>33</v>
      </c>
      <c r="AJ2364">
        <v>0</v>
      </c>
      <c r="AK2364">
        <v>0</v>
      </c>
      <c r="AL2364">
        <v>0</v>
      </c>
      <c r="AM2364">
        <v>0</v>
      </c>
      <c r="AN2364">
        <v>0</v>
      </c>
      <c r="AO2364">
        <v>0</v>
      </c>
      <c r="AP2364" s="2">
        <v>42831</v>
      </c>
      <c r="AQ2364" t="s">
        <v>72</v>
      </c>
      <c r="AR2364" t="s">
        <v>72</v>
      </c>
      <c r="AS2364">
        <v>292</v>
      </c>
      <c r="AT2364" s="4">
        <v>42772</v>
      </c>
      <c r="AU2364" t="s">
        <v>73</v>
      </c>
      <c r="AV2364">
        <v>292</v>
      </c>
      <c r="AW2364" s="4">
        <v>42772</v>
      </c>
      <c r="BC2364">
        <v>33</v>
      </c>
      <c r="BD2364">
        <v>0</v>
      </c>
      <c r="BN2364" t="s">
        <v>74</v>
      </c>
    </row>
    <row r="2365" spans="1:66">
      <c r="A2365">
        <v>106570</v>
      </c>
      <c r="B2365" t="s">
        <v>494</v>
      </c>
      <c r="C2365" s="1">
        <v>43300101</v>
      </c>
      <c r="D2365" t="s">
        <v>67</v>
      </c>
      <c r="H2365" t="str">
        <f t="shared" si="306"/>
        <v>01617610629</v>
      </c>
      <c r="I2365" t="str">
        <f t="shared" si="306"/>
        <v>01617610629</v>
      </c>
      <c r="K2365" t="str">
        <f>""</f>
        <v/>
      </c>
      <c r="M2365" t="s">
        <v>68</v>
      </c>
      <c r="N2365" t="str">
        <f t="shared" si="305"/>
        <v>FOR</v>
      </c>
      <c r="O2365" t="s">
        <v>69</v>
      </c>
      <c r="P2365" t="s">
        <v>75</v>
      </c>
      <c r="Q2365">
        <v>2016</v>
      </c>
      <c r="R2365" s="4">
        <v>42643</v>
      </c>
      <c r="S2365" s="2">
        <v>42646</v>
      </c>
      <c r="T2365" s="2">
        <v>42643</v>
      </c>
      <c r="U2365" s="4">
        <v>42703</v>
      </c>
      <c r="V2365" t="s">
        <v>71</v>
      </c>
      <c r="W2365" t="str">
        <f>"        2016   100/a"</f>
        <v xml:space="preserve">        2016   100/a</v>
      </c>
      <c r="X2365">
        <v>234.24</v>
      </c>
      <c r="Y2365">
        <v>0</v>
      </c>
      <c r="Z2365" s="5">
        <v>192</v>
      </c>
      <c r="AA2365" s="3">
        <v>69</v>
      </c>
      <c r="AB2365" s="5">
        <v>13248</v>
      </c>
      <c r="AC2365">
        <v>192</v>
      </c>
      <c r="AD2365">
        <v>69</v>
      </c>
      <c r="AE2365" s="1">
        <v>13248</v>
      </c>
      <c r="AF2365">
        <v>42.24</v>
      </c>
      <c r="AJ2365">
        <v>0</v>
      </c>
      <c r="AK2365">
        <v>0</v>
      </c>
      <c r="AL2365">
        <v>0</v>
      </c>
      <c r="AM2365">
        <v>0</v>
      </c>
      <c r="AN2365">
        <v>0</v>
      </c>
      <c r="AO2365">
        <v>0</v>
      </c>
      <c r="AP2365" s="2">
        <v>42831</v>
      </c>
      <c r="AQ2365" t="s">
        <v>72</v>
      </c>
      <c r="AR2365" t="s">
        <v>72</v>
      </c>
      <c r="AS2365">
        <v>292</v>
      </c>
      <c r="AT2365" s="4">
        <v>42772</v>
      </c>
      <c r="AU2365" t="s">
        <v>73</v>
      </c>
      <c r="AV2365">
        <v>292</v>
      </c>
      <c r="AW2365" s="4">
        <v>42772</v>
      </c>
      <c r="BB2365">
        <v>42.24</v>
      </c>
      <c r="BD2365">
        <v>0</v>
      </c>
      <c r="BN2365" t="s">
        <v>74</v>
      </c>
    </row>
    <row r="2366" spans="1:66">
      <c r="A2366">
        <v>106570</v>
      </c>
      <c r="B2366" t="s">
        <v>494</v>
      </c>
      <c r="C2366" s="1">
        <v>43300101</v>
      </c>
      <c r="D2366" t="s">
        <v>67</v>
      </c>
      <c r="H2366" t="str">
        <f t="shared" si="306"/>
        <v>01617610629</v>
      </c>
      <c r="I2366" t="str">
        <f t="shared" si="306"/>
        <v>01617610629</v>
      </c>
      <c r="K2366" t="str">
        <f>""</f>
        <v/>
      </c>
      <c r="M2366" t="s">
        <v>68</v>
      </c>
      <c r="N2366" t="str">
        <f t="shared" si="305"/>
        <v>FOR</v>
      </c>
      <c r="O2366" t="s">
        <v>69</v>
      </c>
      <c r="P2366" t="s">
        <v>75</v>
      </c>
      <c r="Q2366">
        <v>2016</v>
      </c>
      <c r="R2366" s="4">
        <v>42643</v>
      </c>
      <c r="S2366" s="2">
        <v>42646</v>
      </c>
      <c r="T2366" s="2">
        <v>42643</v>
      </c>
      <c r="U2366" s="4">
        <v>42703</v>
      </c>
      <c r="V2366" t="s">
        <v>71</v>
      </c>
      <c r="W2366" t="str">
        <f>"        2016   101/a"</f>
        <v xml:space="preserve">        2016   101/a</v>
      </c>
      <c r="X2366">
        <v>170.8</v>
      </c>
      <c r="Y2366">
        <v>0</v>
      </c>
      <c r="Z2366" s="5">
        <v>140</v>
      </c>
      <c r="AA2366" s="3">
        <v>69</v>
      </c>
      <c r="AB2366" s="5">
        <v>9660</v>
      </c>
      <c r="AC2366">
        <v>140</v>
      </c>
      <c r="AD2366">
        <v>69</v>
      </c>
      <c r="AE2366" s="1">
        <v>9660</v>
      </c>
      <c r="AF2366">
        <v>30.8</v>
      </c>
      <c r="AJ2366">
        <v>0</v>
      </c>
      <c r="AK2366">
        <v>0</v>
      </c>
      <c r="AL2366">
        <v>0</v>
      </c>
      <c r="AM2366">
        <v>0</v>
      </c>
      <c r="AN2366">
        <v>0</v>
      </c>
      <c r="AO2366">
        <v>0</v>
      </c>
      <c r="AP2366" s="2">
        <v>42831</v>
      </c>
      <c r="AQ2366" t="s">
        <v>72</v>
      </c>
      <c r="AR2366" t="s">
        <v>72</v>
      </c>
      <c r="AS2366">
        <v>292</v>
      </c>
      <c r="AT2366" s="4">
        <v>42772</v>
      </c>
      <c r="AU2366" t="s">
        <v>73</v>
      </c>
      <c r="AV2366">
        <v>292</v>
      </c>
      <c r="AW2366" s="4">
        <v>42772</v>
      </c>
      <c r="BB2366">
        <v>30.8</v>
      </c>
      <c r="BD2366">
        <v>0</v>
      </c>
      <c r="BN2366" t="s">
        <v>74</v>
      </c>
    </row>
    <row r="2367" spans="1:66">
      <c r="A2367">
        <v>106570</v>
      </c>
      <c r="B2367" t="s">
        <v>494</v>
      </c>
      <c r="C2367" s="1">
        <v>43300101</v>
      </c>
      <c r="D2367" t="s">
        <v>67</v>
      </c>
      <c r="H2367" t="str">
        <f t="shared" si="306"/>
        <v>01617610629</v>
      </c>
      <c r="I2367" t="str">
        <f t="shared" si="306"/>
        <v>01617610629</v>
      </c>
      <c r="K2367" t="str">
        <f>""</f>
        <v/>
      </c>
      <c r="M2367" t="s">
        <v>68</v>
      </c>
      <c r="N2367" t="str">
        <f t="shared" si="305"/>
        <v>FOR</v>
      </c>
      <c r="O2367" t="s">
        <v>69</v>
      </c>
      <c r="P2367" t="s">
        <v>75</v>
      </c>
      <c r="Q2367">
        <v>2016</v>
      </c>
      <c r="R2367" s="4">
        <v>42643</v>
      </c>
      <c r="S2367" s="2">
        <v>42646</v>
      </c>
      <c r="T2367" s="2">
        <v>42643</v>
      </c>
      <c r="U2367" s="4">
        <v>42703</v>
      </c>
      <c r="V2367" t="s">
        <v>71</v>
      </c>
      <c r="W2367" t="str">
        <f>"        2016   102/a"</f>
        <v xml:space="preserve">        2016   102/a</v>
      </c>
      <c r="X2367">
        <v>103.7</v>
      </c>
      <c r="Y2367">
        <v>0</v>
      </c>
      <c r="Z2367" s="5">
        <v>85</v>
      </c>
      <c r="AA2367" s="3">
        <v>69</v>
      </c>
      <c r="AB2367" s="5">
        <v>5865</v>
      </c>
      <c r="AC2367">
        <v>85</v>
      </c>
      <c r="AD2367">
        <v>69</v>
      </c>
      <c r="AE2367" s="1">
        <v>5865</v>
      </c>
      <c r="AF2367">
        <v>18.7</v>
      </c>
      <c r="AJ2367">
        <v>0</v>
      </c>
      <c r="AK2367">
        <v>0</v>
      </c>
      <c r="AL2367">
        <v>0</v>
      </c>
      <c r="AM2367">
        <v>0</v>
      </c>
      <c r="AN2367">
        <v>0</v>
      </c>
      <c r="AO2367">
        <v>0</v>
      </c>
      <c r="AP2367" s="2">
        <v>42831</v>
      </c>
      <c r="AQ2367" t="s">
        <v>72</v>
      </c>
      <c r="AR2367" t="s">
        <v>72</v>
      </c>
      <c r="AS2367">
        <v>292</v>
      </c>
      <c r="AT2367" s="4">
        <v>42772</v>
      </c>
      <c r="AU2367" t="s">
        <v>73</v>
      </c>
      <c r="AV2367">
        <v>292</v>
      </c>
      <c r="AW2367" s="4">
        <v>42772</v>
      </c>
      <c r="BB2367">
        <v>18.7</v>
      </c>
      <c r="BD2367">
        <v>0</v>
      </c>
      <c r="BN2367" t="s">
        <v>74</v>
      </c>
    </row>
    <row r="2368" spans="1:66">
      <c r="A2368">
        <v>106570</v>
      </c>
      <c r="B2368" t="s">
        <v>494</v>
      </c>
      <c r="C2368" s="1">
        <v>43300101</v>
      </c>
      <c r="D2368" t="s">
        <v>67</v>
      </c>
      <c r="H2368" t="str">
        <f t="shared" si="306"/>
        <v>01617610629</v>
      </c>
      <c r="I2368" t="str">
        <f t="shared" si="306"/>
        <v>01617610629</v>
      </c>
      <c r="K2368" t="str">
        <f>""</f>
        <v/>
      </c>
      <c r="M2368" t="s">
        <v>68</v>
      </c>
      <c r="N2368" t="str">
        <f t="shared" si="305"/>
        <v>FOR</v>
      </c>
      <c r="O2368" t="s">
        <v>69</v>
      </c>
      <c r="P2368" t="s">
        <v>75</v>
      </c>
      <c r="Q2368">
        <v>2016</v>
      </c>
      <c r="R2368" s="4">
        <v>42643</v>
      </c>
      <c r="S2368" s="2">
        <v>42646</v>
      </c>
      <c r="T2368" s="2">
        <v>42643</v>
      </c>
      <c r="U2368" s="4">
        <v>42703</v>
      </c>
      <c r="V2368" t="s">
        <v>71</v>
      </c>
      <c r="W2368" t="str">
        <f>"        2016   103/a"</f>
        <v xml:space="preserve">        2016   103/a</v>
      </c>
      <c r="X2368">
        <v>292.8</v>
      </c>
      <c r="Y2368">
        <v>0</v>
      </c>
      <c r="Z2368" s="5">
        <v>240</v>
      </c>
      <c r="AA2368" s="3">
        <v>69</v>
      </c>
      <c r="AB2368" s="5">
        <v>16560</v>
      </c>
      <c r="AC2368">
        <v>240</v>
      </c>
      <c r="AD2368">
        <v>69</v>
      </c>
      <c r="AE2368" s="1">
        <v>16560</v>
      </c>
      <c r="AF2368">
        <v>52.8</v>
      </c>
      <c r="AJ2368">
        <v>0</v>
      </c>
      <c r="AK2368">
        <v>0</v>
      </c>
      <c r="AL2368">
        <v>0</v>
      </c>
      <c r="AM2368">
        <v>0</v>
      </c>
      <c r="AN2368">
        <v>0</v>
      </c>
      <c r="AO2368">
        <v>0</v>
      </c>
      <c r="AP2368" s="2">
        <v>42831</v>
      </c>
      <c r="AQ2368" t="s">
        <v>72</v>
      </c>
      <c r="AR2368" t="s">
        <v>72</v>
      </c>
      <c r="AS2368">
        <v>292</v>
      </c>
      <c r="AT2368" s="4">
        <v>42772</v>
      </c>
      <c r="AU2368" t="s">
        <v>73</v>
      </c>
      <c r="AV2368">
        <v>292</v>
      </c>
      <c r="AW2368" s="4">
        <v>42772</v>
      </c>
      <c r="BB2368">
        <v>52.8</v>
      </c>
      <c r="BD2368">
        <v>0</v>
      </c>
      <c r="BN2368" t="s">
        <v>74</v>
      </c>
    </row>
    <row r="2369" spans="1:66">
      <c r="A2369">
        <v>106570</v>
      </c>
      <c r="B2369" t="s">
        <v>494</v>
      </c>
      <c r="C2369" s="1">
        <v>43300101</v>
      </c>
      <c r="D2369" t="s">
        <v>67</v>
      </c>
      <c r="H2369" t="str">
        <f t="shared" si="306"/>
        <v>01617610629</v>
      </c>
      <c r="I2369" t="str">
        <f t="shared" si="306"/>
        <v>01617610629</v>
      </c>
      <c r="K2369" t="str">
        <f>""</f>
        <v/>
      </c>
      <c r="M2369" t="s">
        <v>68</v>
      </c>
      <c r="N2369" t="str">
        <f t="shared" si="305"/>
        <v>FOR</v>
      </c>
      <c r="O2369" t="s">
        <v>69</v>
      </c>
      <c r="P2369" t="s">
        <v>75</v>
      </c>
      <c r="Q2369">
        <v>2016</v>
      </c>
      <c r="R2369" s="4">
        <v>42643</v>
      </c>
      <c r="S2369" s="2">
        <v>42646</v>
      </c>
      <c r="T2369" s="2">
        <v>42643</v>
      </c>
      <c r="U2369" s="4">
        <v>42703</v>
      </c>
      <c r="V2369" t="s">
        <v>71</v>
      </c>
      <c r="W2369" t="str">
        <f>"        2016   104/a"</f>
        <v xml:space="preserve">        2016   104/a</v>
      </c>
      <c r="X2369">
        <v>353.8</v>
      </c>
      <c r="Y2369">
        <v>0</v>
      </c>
      <c r="Z2369" s="5">
        <v>290</v>
      </c>
      <c r="AA2369" s="3">
        <v>69</v>
      </c>
      <c r="AB2369" s="5">
        <v>20010</v>
      </c>
      <c r="AC2369">
        <v>290</v>
      </c>
      <c r="AD2369">
        <v>69</v>
      </c>
      <c r="AE2369" s="1">
        <v>20010</v>
      </c>
      <c r="AF2369">
        <v>63.8</v>
      </c>
      <c r="AJ2369">
        <v>0</v>
      </c>
      <c r="AK2369">
        <v>0</v>
      </c>
      <c r="AL2369">
        <v>0</v>
      </c>
      <c r="AM2369">
        <v>0</v>
      </c>
      <c r="AN2369">
        <v>0</v>
      </c>
      <c r="AO2369">
        <v>0</v>
      </c>
      <c r="AP2369" s="2">
        <v>42831</v>
      </c>
      <c r="AQ2369" t="s">
        <v>72</v>
      </c>
      <c r="AR2369" t="s">
        <v>72</v>
      </c>
      <c r="AS2369">
        <v>292</v>
      </c>
      <c r="AT2369" s="4">
        <v>42772</v>
      </c>
      <c r="AU2369" t="s">
        <v>73</v>
      </c>
      <c r="AV2369">
        <v>292</v>
      </c>
      <c r="AW2369" s="4">
        <v>42772</v>
      </c>
      <c r="BB2369">
        <v>63.8</v>
      </c>
      <c r="BD2369">
        <v>0</v>
      </c>
      <c r="BN2369" t="s">
        <v>74</v>
      </c>
    </row>
    <row r="2370" spans="1:66">
      <c r="A2370">
        <v>106570</v>
      </c>
      <c r="B2370" t="s">
        <v>494</v>
      </c>
      <c r="C2370" s="1">
        <v>43300101</v>
      </c>
      <c r="D2370" t="s">
        <v>67</v>
      </c>
      <c r="H2370" t="str">
        <f t="shared" si="306"/>
        <v>01617610629</v>
      </c>
      <c r="I2370" t="str">
        <f t="shared" si="306"/>
        <v>01617610629</v>
      </c>
      <c r="K2370" t="str">
        <f>""</f>
        <v/>
      </c>
      <c r="M2370" t="s">
        <v>68</v>
      </c>
      <c r="N2370" t="str">
        <f t="shared" si="305"/>
        <v>FOR</v>
      </c>
      <c r="O2370" t="s">
        <v>69</v>
      </c>
      <c r="P2370" t="s">
        <v>75</v>
      </c>
      <c r="Q2370">
        <v>2016</v>
      </c>
      <c r="R2370" s="4">
        <v>42643</v>
      </c>
      <c r="S2370" s="2">
        <v>42646</v>
      </c>
      <c r="T2370" s="2">
        <v>42643</v>
      </c>
      <c r="U2370" s="4">
        <v>42703</v>
      </c>
      <c r="V2370" t="s">
        <v>71</v>
      </c>
      <c r="W2370" t="str">
        <f>"        2016   106/a"</f>
        <v xml:space="preserve">        2016   106/a</v>
      </c>
      <c r="X2370">
        <v>80.52</v>
      </c>
      <c r="Y2370">
        <v>0</v>
      </c>
      <c r="Z2370" s="5">
        <v>66</v>
      </c>
      <c r="AA2370" s="3">
        <v>69</v>
      </c>
      <c r="AB2370" s="5">
        <v>4554</v>
      </c>
      <c r="AC2370">
        <v>66</v>
      </c>
      <c r="AD2370">
        <v>69</v>
      </c>
      <c r="AE2370" s="1">
        <v>4554</v>
      </c>
      <c r="AF2370">
        <v>14.52</v>
      </c>
      <c r="AJ2370">
        <v>0</v>
      </c>
      <c r="AK2370">
        <v>0</v>
      </c>
      <c r="AL2370">
        <v>0</v>
      </c>
      <c r="AM2370">
        <v>0</v>
      </c>
      <c r="AN2370">
        <v>0</v>
      </c>
      <c r="AO2370">
        <v>0</v>
      </c>
      <c r="AP2370" s="2">
        <v>42831</v>
      </c>
      <c r="AQ2370" t="s">
        <v>72</v>
      </c>
      <c r="AR2370" t="s">
        <v>72</v>
      </c>
      <c r="AS2370">
        <v>292</v>
      </c>
      <c r="AT2370" s="4">
        <v>42772</v>
      </c>
      <c r="AU2370" t="s">
        <v>73</v>
      </c>
      <c r="AV2370">
        <v>292</v>
      </c>
      <c r="AW2370" s="4">
        <v>42772</v>
      </c>
      <c r="BB2370">
        <v>14.52</v>
      </c>
      <c r="BD2370">
        <v>0</v>
      </c>
      <c r="BN2370" t="s">
        <v>74</v>
      </c>
    </row>
    <row r="2371" spans="1:66">
      <c r="A2371">
        <v>106570</v>
      </c>
      <c r="B2371" t="s">
        <v>494</v>
      </c>
      <c r="C2371" s="1">
        <v>43300101</v>
      </c>
      <c r="D2371" t="s">
        <v>67</v>
      </c>
      <c r="H2371" t="str">
        <f t="shared" si="306"/>
        <v>01617610629</v>
      </c>
      <c r="I2371" t="str">
        <f t="shared" si="306"/>
        <v>01617610629</v>
      </c>
      <c r="K2371" t="str">
        <f>""</f>
        <v/>
      </c>
      <c r="M2371" t="s">
        <v>68</v>
      </c>
      <c r="N2371" t="str">
        <f t="shared" si="305"/>
        <v>FOR</v>
      </c>
      <c r="O2371" t="s">
        <v>69</v>
      </c>
      <c r="P2371" t="s">
        <v>75</v>
      </c>
      <c r="Q2371">
        <v>2016</v>
      </c>
      <c r="R2371" s="4">
        <v>42643</v>
      </c>
      <c r="S2371" s="2">
        <v>42646</v>
      </c>
      <c r="T2371" s="2">
        <v>42643</v>
      </c>
      <c r="U2371" s="4">
        <v>42703</v>
      </c>
      <c r="V2371" t="s">
        <v>71</v>
      </c>
      <c r="W2371" t="str">
        <f>"        2016   107/a"</f>
        <v xml:space="preserve">        2016   107/a</v>
      </c>
      <c r="X2371">
        <v>146.4</v>
      </c>
      <c r="Y2371">
        <v>0</v>
      </c>
      <c r="Z2371" s="5">
        <v>120</v>
      </c>
      <c r="AA2371" s="3">
        <v>69</v>
      </c>
      <c r="AB2371" s="5">
        <v>8280</v>
      </c>
      <c r="AC2371">
        <v>120</v>
      </c>
      <c r="AD2371">
        <v>69</v>
      </c>
      <c r="AE2371" s="1">
        <v>8280</v>
      </c>
      <c r="AF2371">
        <v>26.4</v>
      </c>
      <c r="AJ2371">
        <v>0</v>
      </c>
      <c r="AK2371">
        <v>0</v>
      </c>
      <c r="AL2371">
        <v>0</v>
      </c>
      <c r="AM2371">
        <v>0</v>
      </c>
      <c r="AN2371">
        <v>0</v>
      </c>
      <c r="AO2371">
        <v>0</v>
      </c>
      <c r="AP2371" s="2">
        <v>42831</v>
      </c>
      <c r="AQ2371" t="s">
        <v>72</v>
      </c>
      <c r="AR2371" t="s">
        <v>72</v>
      </c>
      <c r="AS2371">
        <v>292</v>
      </c>
      <c r="AT2371" s="4">
        <v>42772</v>
      </c>
      <c r="AU2371" t="s">
        <v>73</v>
      </c>
      <c r="AV2371">
        <v>292</v>
      </c>
      <c r="AW2371" s="4">
        <v>42772</v>
      </c>
      <c r="BB2371">
        <v>26.4</v>
      </c>
      <c r="BD2371">
        <v>0</v>
      </c>
      <c r="BN2371" t="s">
        <v>74</v>
      </c>
    </row>
    <row r="2372" spans="1:66">
      <c r="A2372">
        <v>106570</v>
      </c>
      <c r="B2372" t="s">
        <v>494</v>
      </c>
      <c r="C2372" s="1">
        <v>43300101</v>
      </c>
      <c r="D2372" t="s">
        <v>67</v>
      </c>
      <c r="H2372" t="str">
        <f t="shared" si="306"/>
        <v>01617610629</v>
      </c>
      <c r="I2372" t="str">
        <f t="shared" si="306"/>
        <v>01617610629</v>
      </c>
      <c r="K2372" t="str">
        <f>""</f>
        <v/>
      </c>
      <c r="M2372" t="s">
        <v>68</v>
      </c>
      <c r="N2372" t="str">
        <f t="shared" si="305"/>
        <v>FOR</v>
      </c>
      <c r="O2372" t="s">
        <v>69</v>
      </c>
      <c r="P2372" t="s">
        <v>75</v>
      </c>
      <c r="Q2372">
        <v>2016</v>
      </c>
      <c r="R2372" s="4">
        <v>42643</v>
      </c>
      <c r="S2372" s="2">
        <v>42646</v>
      </c>
      <c r="T2372" s="2">
        <v>42643</v>
      </c>
      <c r="U2372" s="4">
        <v>42703</v>
      </c>
      <c r="V2372" t="s">
        <v>71</v>
      </c>
      <c r="W2372" t="str">
        <f>"        2016   108/a"</f>
        <v xml:space="preserve">        2016   108/a</v>
      </c>
      <c r="X2372">
        <v>146.4</v>
      </c>
      <c r="Y2372">
        <v>0</v>
      </c>
      <c r="Z2372" s="5">
        <v>120</v>
      </c>
      <c r="AA2372" s="3">
        <v>69</v>
      </c>
      <c r="AB2372" s="5">
        <v>8280</v>
      </c>
      <c r="AC2372">
        <v>120</v>
      </c>
      <c r="AD2372">
        <v>69</v>
      </c>
      <c r="AE2372" s="1">
        <v>8280</v>
      </c>
      <c r="AF2372">
        <v>26.4</v>
      </c>
      <c r="AJ2372">
        <v>0</v>
      </c>
      <c r="AK2372">
        <v>0</v>
      </c>
      <c r="AL2372">
        <v>0</v>
      </c>
      <c r="AM2372">
        <v>0</v>
      </c>
      <c r="AN2372">
        <v>0</v>
      </c>
      <c r="AO2372">
        <v>0</v>
      </c>
      <c r="AP2372" s="2">
        <v>42831</v>
      </c>
      <c r="AQ2372" t="s">
        <v>72</v>
      </c>
      <c r="AR2372" t="s">
        <v>72</v>
      </c>
      <c r="AS2372">
        <v>292</v>
      </c>
      <c r="AT2372" s="4">
        <v>42772</v>
      </c>
      <c r="AU2372" t="s">
        <v>73</v>
      </c>
      <c r="AV2372">
        <v>292</v>
      </c>
      <c r="AW2372" s="4">
        <v>42772</v>
      </c>
      <c r="BB2372">
        <v>26.4</v>
      </c>
      <c r="BD2372">
        <v>0</v>
      </c>
      <c r="BN2372" t="s">
        <v>74</v>
      </c>
    </row>
    <row r="2373" spans="1:66">
      <c r="A2373">
        <v>106570</v>
      </c>
      <c r="B2373" t="s">
        <v>494</v>
      </c>
      <c r="C2373" s="1">
        <v>43300101</v>
      </c>
      <c r="D2373" t="s">
        <v>67</v>
      </c>
      <c r="H2373" t="str">
        <f t="shared" si="306"/>
        <v>01617610629</v>
      </c>
      <c r="I2373" t="str">
        <f t="shared" si="306"/>
        <v>01617610629</v>
      </c>
      <c r="K2373" t="str">
        <f>""</f>
        <v/>
      </c>
      <c r="M2373" t="s">
        <v>68</v>
      </c>
      <c r="N2373" t="str">
        <f t="shared" si="305"/>
        <v>FOR</v>
      </c>
      <c r="O2373" t="s">
        <v>69</v>
      </c>
      <c r="P2373" t="s">
        <v>75</v>
      </c>
      <c r="Q2373">
        <v>2016</v>
      </c>
      <c r="R2373" s="4">
        <v>42643</v>
      </c>
      <c r="S2373" s="2">
        <v>42646</v>
      </c>
      <c r="T2373" s="2">
        <v>42643</v>
      </c>
      <c r="U2373" s="4">
        <v>42703</v>
      </c>
      <c r="V2373" t="s">
        <v>71</v>
      </c>
      <c r="W2373" t="str">
        <f>"        2016   109/a"</f>
        <v xml:space="preserve">        2016   109/a</v>
      </c>
      <c r="X2373" s="1">
        <v>1024.8</v>
      </c>
      <c r="Y2373">
        <v>0</v>
      </c>
      <c r="Z2373" s="5">
        <v>840</v>
      </c>
      <c r="AA2373" s="3">
        <v>69</v>
      </c>
      <c r="AB2373" s="5">
        <v>57960</v>
      </c>
      <c r="AC2373">
        <v>840</v>
      </c>
      <c r="AD2373">
        <v>69</v>
      </c>
      <c r="AE2373" s="1">
        <v>57960</v>
      </c>
      <c r="AF2373">
        <v>184.8</v>
      </c>
      <c r="AJ2373">
        <v>0</v>
      </c>
      <c r="AK2373">
        <v>0</v>
      </c>
      <c r="AL2373">
        <v>0</v>
      </c>
      <c r="AM2373">
        <v>0</v>
      </c>
      <c r="AN2373">
        <v>0</v>
      </c>
      <c r="AO2373">
        <v>0</v>
      </c>
      <c r="AP2373" s="2">
        <v>42831</v>
      </c>
      <c r="AQ2373" t="s">
        <v>72</v>
      </c>
      <c r="AR2373" t="s">
        <v>72</v>
      </c>
      <c r="AS2373">
        <v>292</v>
      </c>
      <c r="AT2373" s="4">
        <v>42772</v>
      </c>
      <c r="AU2373" t="s">
        <v>73</v>
      </c>
      <c r="AV2373">
        <v>292</v>
      </c>
      <c r="AW2373" s="4">
        <v>42772</v>
      </c>
      <c r="BB2373">
        <v>184.8</v>
      </c>
      <c r="BD2373">
        <v>0</v>
      </c>
      <c r="BN2373" t="s">
        <v>74</v>
      </c>
    </row>
    <row r="2374" spans="1:66">
      <c r="A2374">
        <v>106570</v>
      </c>
      <c r="B2374" t="s">
        <v>494</v>
      </c>
      <c r="C2374" s="1">
        <v>43300101</v>
      </c>
      <c r="D2374" t="s">
        <v>67</v>
      </c>
      <c r="H2374" t="str">
        <f t="shared" si="306"/>
        <v>01617610629</v>
      </c>
      <c r="I2374" t="str">
        <f t="shared" si="306"/>
        <v>01617610629</v>
      </c>
      <c r="K2374" t="str">
        <f>""</f>
        <v/>
      </c>
      <c r="M2374" t="s">
        <v>68</v>
      </c>
      <c r="N2374" t="str">
        <f t="shared" si="305"/>
        <v>FOR</v>
      </c>
      <c r="O2374" t="s">
        <v>69</v>
      </c>
      <c r="P2374" t="s">
        <v>75</v>
      </c>
      <c r="Q2374">
        <v>2016</v>
      </c>
      <c r="R2374" s="4">
        <v>42643</v>
      </c>
      <c r="S2374" s="2">
        <v>42646</v>
      </c>
      <c r="T2374" s="2">
        <v>42643</v>
      </c>
      <c r="U2374" s="4">
        <v>42703</v>
      </c>
      <c r="V2374" t="s">
        <v>71</v>
      </c>
      <c r="W2374" t="str">
        <f>"        2016   110/a"</f>
        <v xml:space="preserve">        2016   110/a</v>
      </c>
      <c r="X2374">
        <v>732</v>
      </c>
      <c r="Y2374">
        <v>0</v>
      </c>
      <c r="Z2374" s="5">
        <v>600</v>
      </c>
      <c r="AA2374" s="3">
        <v>69</v>
      </c>
      <c r="AB2374" s="5">
        <v>41400</v>
      </c>
      <c r="AC2374">
        <v>600</v>
      </c>
      <c r="AD2374">
        <v>69</v>
      </c>
      <c r="AE2374" s="1">
        <v>41400</v>
      </c>
      <c r="AF2374">
        <v>132</v>
      </c>
      <c r="AJ2374">
        <v>0</v>
      </c>
      <c r="AK2374">
        <v>0</v>
      </c>
      <c r="AL2374">
        <v>0</v>
      </c>
      <c r="AM2374">
        <v>0</v>
      </c>
      <c r="AN2374">
        <v>0</v>
      </c>
      <c r="AO2374">
        <v>0</v>
      </c>
      <c r="AP2374" s="2">
        <v>42831</v>
      </c>
      <c r="AQ2374" t="s">
        <v>72</v>
      </c>
      <c r="AR2374" t="s">
        <v>72</v>
      </c>
      <c r="AS2374">
        <v>292</v>
      </c>
      <c r="AT2374" s="4">
        <v>42772</v>
      </c>
      <c r="AU2374" t="s">
        <v>73</v>
      </c>
      <c r="AV2374">
        <v>292</v>
      </c>
      <c r="AW2374" s="4">
        <v>42772</v>
      </c>
      <c r="BB2374">
        <v>132</v>
      </c>
      <c r="BD2374">
        <v>0</v>
      </c>
      <c r="BN2374" t="s">
        <v>74</v>
      </c>
    </row>
    <row r="2375" spans="1:66">
      <c r="A2375">
        <v>106570</v>
      </c>
      <c r="B2375" t="s">
        <v>494</v>
      </c>
      <c r="C2375" s="1">
        <v>43300101</v>
      </c>
      <c r="D2375" t="s">
        <v>67</v>
      </c>
      <c r="H2375" t="str">
        <f t="shared" si="306"/>
        <v>01617610629</v>
      </c>
      <c r="I2375" t="str">
        <f t="shared" si="306"/>
        <v>01617610629</v>
      </c>
      <c r="K2375" t="str">
        <f>""</f>
        <v/>
      </c>
      <c r="M2375" t="s">
        <v>68</v>
      </c>
      <c r="N2375" t="str">
        <f t="shared" si="305"/>
        <v>FOR</v>
      </c>
      <c r="O2375" t="s">
        <v>69</v>
      </c>
      <c r="P2375" t="s">
        <v>75</v>
      </c>
      <c r="Q2375">
        <v>2016</v>
      </c>
      <c r="R2375" s="4">
        <v>42643</v>
      </c>
      <c r="S2375" s="2">
        <v>42646</v>
      </c>
      <c r="T2375" s="2">
        <v>42643</v>
      </c>
      <c r="U2375" s="4">
        <v>42703</v>
      </c>
      <c r="V2375" t="s">
        <v>71</v>
      </c>
      <c r="W2375" t="str">
        <f>"        2016   111/a"</f>
        <v xml:space="preserve">        2016   111/a</v>
      </c>
      <c r="X2375">
        <v>508.74</v>
      </c>
      <c r="Y2375">
        <v>0</v>
      </c>
      <c r="Z2375" s="5">
        <v>417</v>
      </c>
      <c r="AA2375" s="3">
        <v>69</v>
      </c>
      <c r="AB2375" s="5">
        <v>28773</v>
      </c>
      <c r="AC2375">
        <v>417</v>
      </c>
      <c r="AD2375">
        <v>69</v>
      </c>
      <c r="AE2375" s="1">
        <v>28773</v>
      </c>
      <c r="AF2375">
        <v>91.74</v>
      </c>
      <c r="AJ2375">
        <v>0</v>
      </c>
      <c r="AK2375">
        <v>0</v>
      </c>
      <c r="AL2375">
        <v>0</v>
      </c>
      <c r="AM2375">
        <v>0</v>
      </c>
      <c r="AN2375">
        <v>0</v>
      </c>
      <c r="AO2375">
        <v>0</v>
      </c>
      <c r="AP2375" s="2">
        <v>42831</v>
      </c>
      <c r="AQ2375" t="s">
        <v>72</v>
      </c>
      <c r="AR2375" t="s">
        <v>72</v>
      </c>
      <c r="AS2375">
        <v>292</v>
      </c>
      <c r="AT2375" s="4">
        <v>42772</v>
      </c>
      <c r="AU2375" t="s">
        <v>73</v>
      </c>
      <c r="AV2375">
        <v>292</v>
      </c>
      <c r="AW2375" s="4">
        <v>42772</v>
      </c>
      <c r="BB2375">
        <v>91.74</v>
      </c>
      <c r="BD2375">
        <v>0</v>
      </c>
      <c r="BN2375" t="s">
        <v>74</v>
      </c>
    </row>
    <row r="2376" spans="1:66">
      <c r="A2376">
        <v>106570</v>
      </c>
      <c r="B2376" t="s">
        <v>494</v>
      </c>
      <c r="C2376" s="1">
        <v>43300101</v>
      </c>
      <c r="D2376" t="s">
        <v>67</v>
      </c>
      <c r="H2376" t="str">
        <f t="shared" si="306"/>
        <v>01617610629</v>
      </c>
      <c r="I2376" t="str">
        <f t="shared" si="306"/>
        <v>01617610629</v>
      </c>
      <c r="K2376" t="str">
        <f>""</f>
        <v/>
      </c>
      <c r="M2376" t="s">
        <v>68</v>
      </c>
      <c r="N2376" t="str">
        <f t="shared" ref="N2376:N2392" si="307">"FOR"</f>
        <v>FOR</v>
      </c>
      <c r="O2376" t="s">
        <v>69</v>
      </c>
      <c r="P2376" t="s">
        <v>75</v>
      </c>
      <c r="Q2376">
        <v>2016</v>
      </c>
      <c r="R2376" s="4">
        <v>42656</v>
      </c>
      <c r="S2376" s="2">
        <v>42660</v>
      </c>
      <c r="T2376" s="2">
        <v>42657</v>
      </c>
      <c r="U2376" s="4">
        <v>42717</v>
      </c>
      <c r="V2376" t="s">
        <v>71</v>
      </c>
      <c r="W2376" t="str">
        <f>"        2016   113/a"</f>
        <v xml:space="preserve">        2016   113/a</v>
      </c>
      <c r="X2376">
        <v>921.1</v>
      </c>
      <c r="Y2376">
        <v>0</v>
      </c>
      <c r="Z2376" s="5">
        <v>755</v>
      </c>
      <c r="AA2376" s="3">
        <v>55</v>
      </c>
      <c r="AB2376" s="5">
        <v>41525</v>
      </c>
      <c r="AC2376">
        <v>755</v>
      </c>
      <c r="AD2376">
        <v>55</v>
      </c>
      <c r="AE2376" s="1">
        <v>41525</v>
      </c>
      <c r="AF2376">
        <v>166.1</v>
      </c>
      <c r="AJ2376">
        <v>0</v>
      </c>
      <c r="AK2376">
        <v>0</v>
      </c>
      <c r="AL2376">
        <v>0</v>
      </c>
      <c r="AM2376">
        <v>0</v>
      </c>
      <c r="AN2376">
        <v>0</v>
      </c>
      <c r="AO2376">
        <v>0</v>
      </c>
      <c r="AP2376" s="2">
        <v>42831</v>
      </c>
      <c r="AQ2376" t="s">
        <v>72</v>
      </c>
      <c r="AR2376" t="s">
        <v>72</v>
      </c>
      <c r="AS2376">
        <v>292</v>
      </c>
      <c r="AT2376" s="4">
        <v>42772</v>
      </c>
      <c r="AU2376" t="s">
        <v>73</v>
      </c>
      <c r="AV2376">
        <v>292</v>
      </c>
      <c r="AW2376" s="4">
        <v>42772</v>
      </c>
      <c r="BA2376">
        <v>166.1</v>
      </c>
      <c r="BD2376">
        <v>0</v>
      </c>
      <c r="BN2376" t="s">
        <v>74</v>
      </c>
    </row>
    <row r="2377" spans="1:66">
      <c r="A2377">
        <v>106570</v>
      </c>
      <c r="B2377" t="s">
        <v>494</v>
      </c>
      <c r="C2377" s="1">
        <v>43300101</v>
      </c>
      <c r="D2377" t="s">
        <v>67</v>
      </c>
      <c r="H2377" t="str">
        <f t="shared" si="306"/>
        <v>01617610629</v>
      </c>
      <c r="I2377" t="str">
        <f t="shared" si="306"/>
        <v>01617610629</v>
      </c>
      <c r="K2377" t="str">
        <f>""</f>
        <v/>
      </c>
      <c r="M2377" t="s">
        <v>68</v>
      </c>
      <c r="N2377" t="str">
        <f t="shared" si="307"/>
        <v>FOR</v>
      </c>
      <c r="O2377" t="s">
        <v>69</v>
      </c>
      <c r="P2377" t="s">
        <v>75</v>
      </c>
      <c r="Q2377">
        <v>2016</v>
      </c>
      <c r="R2377" s="4">
        <v>42656</v>
      </c>
      <c r="S2377" s="2">
        <v>42660</v>
      </c>
      <c r="T2377" s="2">
        <v>42657</v>
      </c>
      <c r="U2377" s="4">
        <v>42717</v>
      </c>
      <c r="V2377" t="s">
        <v>71</v>
      </c>
      <c r="W2377" t="str">
        <f>"        2016   114/a"</f>
        <v xml:space="preserve">        2016   114/a</v>
      </c>
      <c r="X2377">
        <v>732</v>
      </c>
      <c r="Y2377">
        <v>0</v>
      </c>
      <c r="Z2377" s="5">
        <v>600</v>
      </c>
      <c r="AA2377" s="3">
        <v>55</v>
      </c>
      <c r="AB2377" s="5">
        <v>33000</v>
      </c>
      <c r="AC2377">
        <v>600</v>
      </c>
      <c r="AD2377">
        <v>55</v>
      </c>
      <c r="AE2377" s="1">
        <v>33000</v>
      </c>
      <c r="AF2377">
        <v>132</v>
      </c>
      <c r="AJ2377">
        <v>0</v>
      </c>
      <c r="AK2377">
        <v>0</v>
      </c>
      <c r="AL2377">
        <v>0</v>
      </c>
      <c r="AM2377">
        <v>0</v>
      </c>
      <c r="AN2377">
        <v>0</v>
      </c>
      <c r="AO2377">
        <v>0</v>
      </c>
      <c r="AP2377" s="2">
        <v>42831</v>
      </c>
      <c r="AQ2377" t="s">
        <v>72</v>
      </c>
      <c r="AR2377" t="s">
        <v>72</v>
      </c>
      <c r="AS2377">
        <v>292</v>
      </c>
      <c r="AT2377" s="4">
        <v>42772</v>
      </c>
      <c r="AU2377" t="s">
        <v>73</v>
      </c>
      <c r="AV2377">
        <v>292</v>
      </c>
      <c r="AW2377" s="4">
        <v>42772</v>
      </c>
      <c r="BA2377">
        <v>132</v>
      </c>
      <c r="BD2377">
        <v>0</v>
      </c>
      <c r="BN2377" t="s">
        <v>74</v>
      </c>
    </row>
    <row r="2378" spans="1:66">
      <c r="A2378">
        <v>106570</v>
      </c>
      <c r="B2378" t="s">
        <v>494</v>
      </c>
      <c r="C2378" s="1">
        <v>43300101</v>
      </c>
      <c r="D2378" t="s">
        <v>67</v>
      </c>
      <c r="H2378" t="str">
        <f t="shared" si="306"/>
        <v>01617610629</v>
      </c>
      <c r="I2378" t="str">
        <f t="shared" si="306"/>
        <v>01617610629</v>
      </c>
      <c r="K2378" t="str">
        <f>""</f>
        <v/>
      </c>
      <c r="M2378" t="s">
        <v>68</v>
      </c>
      <c r="N2378" t="str">
        <f t="shared" si="307"/>
        <v>FOR</v>
      </c>
      <c r="O2378" t="s">
        <v>69</v>
      </c>
      <c r="P2378" t="s">
        <v>75</v>
      </c>
      <c r="Q2378">
        <v>2016</v>
      </c>
      <c r="R2378" s="4">
        <v>42656</v>
      </c>
      <c r="S2378" s="2">
        <v>42660</v>
      </c>
      <c r="T2378" s="2">
        <v>42657</v>
      </c>
      <c r="U2378" s="4">
        <v>42717</v>
      </c>
      <c r="V2378" t="s">
        <v>71</v>
      </c>
      <c r="W2378" t="str">
        <f>"        2016   116/a"</f>
        <v xml:space="preserve">        2016   116/a</v>
      </c>
      <c r="X2378">
        <v>732</v>
      </c>
      <c r="Y2378">
        <v>0</v>
      </c>
      <c r="Z2378" s="5">
        <v>600</v>
      </c>
      <c r="AA2378" s="3">
        <v>55</v>
      </c>
      <c r="AB2378" s="5">
        <v>33000</v>
      </c>
      <c r="AC2378">
        <v>600</v>
      </c>
      <c r="AD2378">
        <v>55</v>
      </c>
      <c r="AE2378" s="1">
        <v>33000</v>
      </c>
      <c r="AF2378">
        <v>132</v>
      </c>
      <c r="AJ2378">
        <v>0</v>
      </c>
      <c r="AK2378">
        <v>0</v>
      </c>
      <c r="AL2378">
        <v>0</v>
      </c>
      <c r="AM2378">
        <v>0</v>
      </c>
      <c r="AN2378">
        <v>0</v>
      </c>
      <c r="AO2378">
        <v>0</v>
      </c>
      <c r="AP2378" s="2">
        <v>42831</v>
      </c>
      <c r="AQ2378" t="s">
        <v>72</v>
      </c>
      <c r="AR2378" t="s">
        <v>72</v>
      </c>
      <c r="AS2378">
        <v>292</v>
      </c>
      <c r="AT2378" s="4">
        <v>42772</v>
      </c>
      <c r="AU2378" t="s">
        <v>73</v>
      </c>
      <c r="AV2378">
        <v>292</v>
      </c>
      <c r="AW2378" s="4">
        <v>42772</v>
      </c>
      <c r="BA2378">
        <v>132</v>
      </c>
      <c r="BD2378">
        <v>0</v>
      </c>
      <c r="BN2378" t="s">
        <v>74</v>
      </c>
    </row>
    <row r="2379" spans="1:66">
      <c r="A2379">
        <v>106570</v>
      </c>
      <c r="B2379" t="s">
        <v>494</v>
      </c>
      <c r="C2379" s="1">
        <v>43300101</v>
      </c>
      <c r="D2379" t="s">
        <v>67</v>
      </c>
      <c r="H2379" t="str">
        <f t="shared" si="306"/>
        <v>01617610629</v>
      </c>
      <c r="I2379" t="str">
        <f t="shared" si="306"/>
        <v>01617610629</v>
      </c>
      <c r="K2379" t="str">
        <f>""</f>
        <v/>
      </c>
      <c r="M2379" t="s">
        <v>68</v>
      </c>
      <c r="N2379" t="str">
        <f t="shared" si="307"/>
        <v>FOR</v>
      </c>
      <c r="O2379" t="s">
        <v>69</v>
      </c>
      <c r="P2379" t="s">
        <v>75</v>
      </c>
      <c r="Q2379">
        <v>2016</v>
      </c>
      <c r="R2379" s="4">
        <v>42656</v>
      </c>
      <c r="S2379" s="2">
        <v>42660</v>
      </c>
      <c r="T2379" s="2">
        <v>42657</v>
      </c>
      <c r="U2379" s="4">
        <v>42717</v>
      </c>
      <c r="V2379" t="s">
        <v>71</v>
      </c>
      <c r="W2379" t="str">
        <f>"        2016   118/a"</f>
        <v xml:space="preserve">        2016   118/a</v>
      </c>
      <c r="X2379" s="1">
        <v>1024.8</v>
      </c>
      <c r="Y2379">
        <v>0</v>
      </c>
      <c r="Z2379" s="5">
        <v>840</v>
      </c>
      <c r="AA2379" s="3">
        <v>55</v>
      </c>
      <c r="AB2379" s="5">
        <v>46200</v>
      </c>
      <c r="AC2379">
        <v>840</v>
      </c>
      <c r="AD2379">
        <v>55</v>
      </c>
      <c r="AE2379" s="1">
        <v>46200</v>
      </c>
      <c r="AF2379">
        <v>184.8</v>
      </c>
      <c r="AJ2379">
        <v>0</v>
      </c>
      <c r="AK2379">
        <v>0</v>
      </c>
      <c r="AL2379">
        <v>0</v>
      </c>
      <c r="AM2379">
        <v>0</v>
      </c>
      <c r="AN2379">
        <v>0</v>
      </c>
      <c r="AO2379">
        <v>0</v>
      </c>
      <c r="AP2379" s="2">
        <v>42831</v>
      </c>
      <c r="AQ2379" t="s">
        <v>72</v>
      </c>
      <c r="AR2379" t="s">
        <v>72</v>
      </c>
      <c r="AS2379">
        <v>292</v>
      </c>
      <c r="AT2379" s="4">
        <v>42772</v>
      </c>
      <c r="AU2379" t="s">
        <v>73</v>
      </c>
      <c r="AV2379">
        <v>292</v>
      </c>
      <c r="AW2379" s="4">
        <v>42772</v>
      </c>
      <c r="BA2379">
        <v>184.8</v>
      </c>
      <c r="BD2379">
        <v>0</v>
      </c>
      <c r="BN2379" t="s">
        <v>74</v>
      </c>
    </row>
    <row r="2380" spans="1:66">
      <c r="A2380">
        <v>106570</v>
      </c>
      <c r="B2380" t="s">
        <v>494</v>
      </c>
      <c r="C2380" s="1">
        <v>43300101</v>
      </c>
      <c r="D2380" t="s">
        <v>67</v>
      </c>
      <c r="H2380" t="str">
        <f t="shared" si="306"/>
        <v>01617610629</v>
      </c>
      <c r="I2380" t="str">
        <f t="shared" si="306"/>
        <v>01617610629</v>
      </c>
      <c r="K2380" t="str">
        <f>""</f>
        <v/>
      </c>
      <c r="M2380" t="s">
        <v>68</v>
      </c>
      <c r="N2380" t="str">
        <f t="shared" si="307"/>
        <v>FOR</v>
      </c>
      <c r="O2380" t="s">
        <v>69</v>
      </c>
      <c r="P2380" t="s">
        <v>75</v>
      </c>
      <c r="Q2380">
        <v>2016</v>
      </c>
      <c r="R2380" s="4">
        <v>42656</v>
      </c>
      <c r="S2380" s="2">
        <v>42660</v>
      </c>
      <c r="T2380" s="2">
        <v>42657</v>
      </c>
      <c r="U2380" s="4">
        <v>42717</v>
      </c>
      <c r="V2380" t="s">
        <v>71</v>
      </c>
      <c r="W2380" t="str">
        <f>"        2016   119/a"</f>
        <v xml:space="preserve">        2016   119/a</v>
      </c>
      <c r="X2380">
        <v>725.9</v>
      </c>
      <c r="Y2380">
        <v>0</v>
      </c>
      <c r="Z2380" s="5">
        <v>595</v>
      </c>
      <c r="AA2380" s="3">
        <v>55</v>
      </c>
      <c r="AB2380" s="5">
        <v>32725</v>
      </c>
      <c r="AC2380">
        <v>595</v>
      </c>
      <c r="AD2380">
        <v>55</v>
      </c>
      <c r="AE2380" s="1">
        <v>32725</v>
      </c>
      <c r="AF2380">
        <v>130.9</v>
      </c>
      <c r="AJ2380">
        <v>0</v>
      </c>
      <c r="AK2380">
        <v>0</v>
      </c>
      <c r="AL2380">
        <v>0</v>
      </c>
      <c r="AM2380">
        <v>0</v>
      </c>
      <c r="AN2380">
        <v>0</v>
      </c>
      <c r="AO2380">
        <v>0</v>
      </c>
      <c r="AP2380" s="2">
        <v>42831</v>
      </c>
      <c r="AQ2380" t="s">
        <v>72</v>
      </c>
      <c r="AR2380" t="s">
        <v>72</v>
      </c>
      <c r="AS2380">
        <v>292</v>
      </c>
      <c r="AT2380" s="4">
        <v>42772</v>
      </c>
      <c r="AU2380" t="s">
        <v>73</v>
      </c>
      <c r="AV2380">
        <v>292</v>
      </c>
      <c r="AW2380" s="4">
        <v>42772</v>
      </c>
      <c r="BA2380">
        <v>130.9</v>
      </c>
      <c r="BD2380">
        <v>0</v>
      </c>
      <c r="BN2380" t="s">
        <v>74</v>
      </c>
    </row>
    <row r="2381" spans="1:66">
      <c r="A2381">
        <v>106570</v>
      </c>
      <c r="B2381" t="s">
        <v>494</v>
      </c>
      <c r="C2381" s="1">
        <v>43300101</v>
      </c>
      <c r="D2381" t="s">
        <v>67</v>
      </c>
      <c r="H2381" t="str">
        <f t="shared" si="306"/>
        <v>01617610629</v>
      </c>
      <c r="I2381" t="str">
        <f t="shared" si="306"/>
        <v>01617610629</v>
      </c>
      <c r="K2381" t="str">
        <f>""</f>
        <v/>
      </c>
      <c r="M2381" t="s">
        <v>68</v>
      </c>
      <c r="N2381" t="str">
        <f t="shared" si="307"/>
        <v>FOR</v>
      </c>
      <c r="O2381" t="s">
        <v>69</v>
      </c>
      <c r="P2381" t="s">
        <v>75</v>
      </c>
      <c r="Q2381">
        <v>2016</v>
      </c>
      <c r="R2381" s="4">
        <v>42656</v>
      </c>
      <c r="S2381" s="2">
        <v>42660</v>
      </c>
      <c r="T2381" s="2">
        <v>42657</v>
      </c>
      <c r="U2381" s="4">
        <v>42717</v>
      </c>
      <c r="V2381" t="s">
        <v>71</v>
      </c>
      <c r="W2381" t="str">
        <f>"        2016   120/a"</f>
        <v xml:space="preserve">        2016   120/a</v>
      </c>
      <c r="X2381">
        <v>634.4</v>
      </c>
      <c r="Y2381">
        <v>0</v>
      </c>
      <c r="Z2381" s="5">
        <v>520</v>
      </c>
      <c r="AA2381" s="3">
        <v>55</v>
      </c>
      <c r="AB2381" s="5">
        <v>28600</v>
      </c>
      <c r="AC2381">
        <v>520</v>
      </c>
      <c r="AD2381">
        <v>55</v>
      </c>
      <c r="AE2381" s="1">
        <v>28600</v>
      </c>
      <c r="AF2381">
        <v>114.4</v>
      </c>
      <c r="AJ2381">
        <v>0</v>
      </c>
      <c r="AK2381">
        <v>0</v>
      </c>
      <c r="AL2381">
        <v>0</v>
      </c>
      <c r="AM2381">
        <v>0</v>
      </c>
      <c r="AN2381">
        <v>0</v>
      </c>
      <c r="AO2381">
        <v>0</v>
      </c>
      <c r="AP2381" s="2">
        <v>42831</v>
      </c>
      <c r="AQ2381" t="s">
        <v>72</v>
      </c>
      <c r="AR2381" t="s">
        <v>72</v>
      </c>
      <c r="AS2381">
        <v>292</v>
      </c>
      <c r="AT2381" s="4">
        <v>42772</v>
      </c>
      <c r="AU2381" t="s">
        <v>73</v>
      </c>
      <c r="AV2381">
        <v>292</v>
      </c>
      <c r="AW2381" s="4">
        <v>42772</v>
      </c>
      <c r="BA2381">
        <v>114.4</v>
      </c>
      <c r="BD2381">
        <v>0</v>
      </c>
      <c r="BN2381" t="s">
        <v>74</v>
      </c>
    </row>
    <row r="2382" spans="1:66">
      <c r="A2382">
        <v>106578</v>
      </c>
      <c r="B2382" t="s">
        <v>495</v>
      </c>
      <c r="C2382" s="1">
        <v>43300101</v>
      </c>
      <c r="D2382" t="s">
        <v>67</v>
      </c>
      <c r="H2382" t="str">
        <f>"02417881204"</f>
        <v>02417881204</v>
      </c>
      <c r="I2382" t="str">
        <f>"02417881204"</f>
        <v>02417881204</v>
      </c>
      <c r="K2382" t="str">
        <f>""</f>
        <v/>
      </c>
      <c r="M2382" t="s">
        <v>68</v>
      </c>
      <c r="N2382" t="str">
        <f t="shared" si="307"/>
        <v>FOR</v>
      </c>
      <c r="O2382" t="s">
        <v>69</v>
      </c>
      <c r="P2382" t="s">
        <v>75</v>
      </c>
      <c r="Q2382">
        <v>2016</v>
      </c>
      <c r="R2382" s="4">
        <v>42734</v>
      </c>
      <c r="S2382" s="2">
        <v>42735</v>
      </c>
      <c r="T2382" s="2">
        <v>42734</v>
      </c>
      <c r="U2382" s="4">
        <v>42794</v>
      </c>
      <c r="V2382" t="s">
        <v>71</v>
      </c>
      <c r="W2382" t="str">
        <f>"             1611127"</f>
        <v xml:space="preserve">             1611127</v>
      </c>
      <c r="X2382" s="1">
        <v>8010.18</v>
      </c>
      <c r="Y2382">
        <v>0</v>
      </c>
      <c r="Z2382" s="5">
        <v>7702.1</v>
      </c>
      <c r="AA2382" s="3">
        <v>-12</v>
      </c>
      <c r="AB2382" s="5">
        <v>-92425.2</v>
      </c>
      <c r="AC2382" s="1">
        <v>7702.1</v>
      </c>
      <c r="AD2382">
        <v>-12</v>
      </c>
      <c r="AE2382" s="1">
        <v>-92425.2</v>
      </c>
      <c r="AF2382">
        <v>0</v>
      </c>
      <c r="AJ2382">
        <v>0</v>
      </c>
      <c r="AK2382">
        <v>0</v>
      </c>
      <c r="AL2382">
        <v>0</v>
      </c>
      <c r="AM2382">
        <v>0</v>
      </c>
      <c r="AN2382">
        <v>0</v>
      </c>
      <c r="AO2382">
        <v>0</v>
      </c>
      <c r="AP2382" s="2">
        <v>42831</v>
      </c>
      <c r="AQ2382" t="s">
        <v>72</v>
      </c>
      <c r="AR2382" t="s">
        <v>72</v>
      </c>
      <c r="AS2382">
        <v>464</v>
      </c>
      <c r="AT2382" s="4">
        <v>42782</v>
      </c>
      <c r="AV2382">
        <v>464</v>
      </c>
      <c r="AW2382" s="4">
        <v>42782</v>
      </c>
      <c r="BD2382">
        <v>0</v>
      </c>
      <c r="BN2382" t="s">
        <v>74</v>
      </c>
    </row>
    <row r="2383" spans="1:66">
      <c r="A2383">
        <v>106578</v>
      </c>
      <c r="B2383" t="s">
        <v>495</v>
      </c>
      <c r="C2383" s="1">
        <v>43300101</v>
      </c>
      <c r="D2383" t="s">
        <v>67</v>
      </c>
      <c r="H2383" t="str">
        <f>"02417881204"</f>
        <v>02417881204</v>
      </c>
      <c r="I2383" t="str">
        <f>"02417881204"</f>
        <v>02417881204</v>
      </c>
      <c r="K2383" t="str">
        <f>""</f>
        <v/>
      </c>
      <c r="M2383" t="s">
        <v>68</v>
      </c>
      <c r="N2383" t="str">
        <f t="shared" si="307"/>
        <v>FOR</v>
      </c>
      <c r="O2383" t="s">
        <v>69</v>
      </c>
      <c r="P2383" t="s">
        <v>75</v>
      </c>
      <c r="Q2383">
        <v>2016</v>
      </c>
      <c r="R2383" s="4">
        <v>42734</v>
      </c>
      <c r="S2383" s="2">
        <v>42735</v>
      </c>
      <c r="T2383" s="2">
        <v>42734</v>
      </c>
      <c r="U2383" s="4">
        <v>42794</v>
      </c>
      <c r="V2383" t="s">
        <v>71</v>
      </c>
      <c r="W2383" t="str">
        <f>"             1611128"</f>
        <v xml:space="preserve">             1611128</v>
      </c>
      <c r="X2383" s="1">
        <v>3873.94</v>
      </c>
      <c r="Y2383">
        <v>0</v>
      </c>
      <c r="Z2383" s="5">
        <v>3175.36</v>
      </c>
      <c r="AA2383" s="3">
        <v>-12</v>
      </c>
      <c r="AB2383" s="5">
        <v>-38104.32</v>
      </c>
      <c r="AC2383" s="1">
        <v>3175.36</v>
      </c>
      <c r="AD2383">
        <v>-12</v>
      </c>
      <c r="AE2383" s="1">
        <v>-38104.32</v>
      </c>
      <c r="AF2383">
        <v>0</v>
      </c>
      <c r="AJ2383">
        <v>0</v>
      </c>
      <c r="AK2383">
        <v>0</v>
      </c>
      <c r="AL2383">
        <v>0</v>
      </c>
      <c r="AM2383">
        <v>0</v>
      </c>
      <c r="AN2383">
        <v>0</v>
      </c>
      <c r="AO2383">
        <v>0</v>
      </c>
      <c r="AP2383" s="2">
        <v>42831</v>
      </c>
      <c r="AQ2383" t="s">
        <v>72</v>
      </c>
      <c r="AR2383" t="s">
        <v>72</v>
      </c>
      <c r="AS2383">
        <v>464</v>
      </c>
      <c r="AT2383" s="4">
        <v>42782</v>
      </c>
      <c r="AV2383">
        <v>464</v>
      </c>
      <c r="AW2383" s="4">
        <v>42782</v>
      </c>
      <c r="BD2383">
        <v>0</v>
      </c>
      <c r="BN2383" t="s">
        <v>74</v>
      </c>
    </row>
    <row r="2384" spans="1:66">
      <c r="A2384">
        <v>106583</v>
      </c>
      <c r="B2384" t="s">
        <v>496</v>
      </c>
      <c r="C2384" s="1">
        <v>43300101</v>
      </c>
      <c r="D2384" t="s">
        <v>67</v>
      </c>
      <c r="H2384" t="str">
        <f t="shared" ref="H2384:I2391" si="308">"08959351001"</f>
        <v>08959351001</v>
      </c>
      <c r="I2384" t="str">
        <f t="shared" si="308"/>
        <v>08959351001</v>
      </c>
      <c r="K2384" t="str">
        <f>""</f>
        <v/>
      </c>
      <c r="M2384" t="s">
        <v>68</v>
      </c>
      <c r="N2384" t="str">
        <f t="shared" si="307"/>
        <v>FOR</v>
      </c>
      <c r="O2384" t="s">
        <v>69</v>
      </c>
      <c r="P2384" t="s">
        <v>75</v>
      </c>
      <c r="Q2384">
        <v>2016</v>
      </c>
      <c r="R2384" s="4">
        <v>42480</v>
      </c>
      <c r="S2384" s="2">
        <v>42486</v>
      </c>
      <c r="T2384" s="2">
        <v>42481</v>
      </c>
      <c r="U2384" s="4">
        <v>42541</v>
      </c>
      <c r="V2384" t="s">
        <v>71</v>
      </c>
      <c r="W2384" t="str">
        <f>"              421/PA"</f>
        <v xml:space="preserve">              421/PA</v>
      </c>
      <c r="X2384" s="1">
        <v>1721.67</v>
      </c>
      <c r="Y2384">
        <v>0</v>
      </c>
      <c r="Z2384" s="5">
        <v>1414.09</v>
      </c>
      <c r="AA2384" s="3">
        <v>233</v>
      </c>
      <c r="AB2384" s="5">
        <v>329482.96999999997</v>
      </c>
      <c r="AC2384" s="1">
        <v>1414.09</v>
      </c>
      <c r="AD2384">
        <v>233</v>
      </c>
      <c r="AE2384" s="1">
        <v>329482.96999999997</v>
      </c>
      <c r="AF2384">
        <v>0</v>
      </c>
      <c r="AJ2384">
        <v>0</v>
      </c>
      <c r="AK2384">
        <v>0</v>
      </c>
      <c r="AL2384">
        <v>0</v>
      </c>
      <c r="AM2384">
        <v>0</v>
      </c>
      <c r="AN2384">
        <v>0</v>
      </c>
      <c r="AO2384">
        <v>0</v>
      </c>
      <c r="AP2384" s="2">
        <v>42831</v>
      </c>
      <c r="AQ2384" t="s">
        <v>72</v>
      </c>
      <c r="AR2384" t="s">
        <v>72</v>
      </c>
      <c r="AS2384">
        <v>340</v>
      </c>
      <c r="AT2384" s="4">
        <v>42774</v>
      </c>
      <c r="AU2384" t="s">
        <v>73</v>
      </c>
      <c r="AV2384">
        <v>340</v>
      </c>
      <c r="AW2384" s="4">
        <v>42774</v>
      </c>
      <c r="BD2384">
        <v>0</v>
      </c>
      <c r="BN2384" t="s">
        <v>74</v>
      </c>
    </row>
    <row r="2385" spans="1:66">
      <c r="A2385">
        <v>106583</v>
      </c>
      <c r="B2385" t="s">
        <v>496</v>
      </c>
      <c r="C2385" s="1">
        <v>43300101</v>
      </c>
      <c r="D2385" t="s">
        <v>67</v>
      </c>
      <c r="H2385" t="str">
        <f t="shared" si="308"/>
        <v>08959351001</v>
      </c>
      <c r="I2385" t="str">
        <f t="shared" si="308"/>
        <v>08959351001</v>
      </c>
      <c r="K2385" t="str">
        <f>""</f>
        <v/>
      </c>
      <c r="M2385" t="s">
        <v>68</v>
      </c>
      <c r="N2385" t="str">
        <f t="shared" si="307"/>
        <v>FOR</v>
      </c>
      <c r="O2385" t="s">
        <v>69</v>
      </c>
      <c r="P2385" t="s">
        <v>75</v>
      </c>
      <c r="Q2385">
        <v>2016</v>
      </c>
      <c r="R2385" s="4">
        <v>42541</v>
      </c>
      <c r="S2385" s="2">
        <v>42542</v>
      </c>
      <c r="T2385" s="2">
        <v>42541</v>
      </c>
      <c r="U2385" s="4">
        <v>42601</v>
      </c>
      <c r="V2385" t="s">
        <v>71</v>
      </c>
      <c r="W2385" t="str">
        <f>"              541/PA"</f>
        <v xml:space="preserve">              541/PA</v>
      </c>
      <c r="X2385" s="1">
        <v>1454.05</v>
      </c>
      <c r="Y2385">
        <v>0</v>
      </c>
      <c r="Z2385" s="5">
        <v>1194.73</v>
      </c>
      <c r="AA2385" s="3">
        <v>173</v>
      </c>
      <c r="AB2385" s="5">
        <v>206688.29</v>
      </c>
      <c r="AC2385" s="1">
        <v>1194.73</v>
      </c>
      <c r="AD2385">
        <v>173</v>
      </c>
      <c r="AE2385" s="1">
        <v>206688.29</v>
      </c>
      <c r="AF2385">
        <v>0</v>
      </c>
      <c r="AJ2385">
        <v>0</v>
      </c>
      <c r="AK2385">
        <v>0</v>
      </c>
      <c r="AL2385">
        <v>0</v>
      </c>
      <c r="AM2385">
        <v>0</v>
      </c>
      <c r="AN2385">
        <v>0</v>
      </c>
      <c r="AO2385">
        <v>0</v>
      </c>
      <c r="AP2385" s="2">
        <v>42831</v>
      </c>
      <c r="AQ2385" t="s">
        <v>72</v>
      </c>
      <c r="AR2385" t="s">
        <v>72</v>
      </c>
      <c r="AS2385">
        <v>340</v>
      </c>
      <c r="AT2385" s="4">
        <v>42774</v>
      </c>
      <c r="AU2385" t="s">
        <v>73</v>
      </c>
      <c r="AV2385">
        <v>340</v>
      </c>
      <c r="AW2385" s="4">
        <v>42774</v>
      </c>
      <c r="BD2385">
        <v>0</v>
      </c>
      <c r="BN2385" t="s">
        <v>74</v>
      </c>
    </row>
    <row r="2386" spans="1:66">
      <c r="A2386">
        <v>106583</v>
      </c>
      <c r="B2386" t="s">
        <v>496</v>
      </c>
      <c r="C2386" s="1">
        <v>43300101</v>
      </c>
      <c r="D2386" t="s">
        <v>67</v>
      </c>
      <c r="H2386" t="str">
        <f t="shared" si="308"/>
        <v>08959351001</v>
      </c>
      <c r="I2386" t="str">
        <f t="shared" si="308"/>
        <v>08959351001</v>
      </c>
      <c r="K2386" t="str">
        <f>""</f>
        <v/>
      </c>
      <c r="M2386" t="s">
        <v>68</v>
      </c>
      <c r="N2386" t="str">
        <f t="shared" si="307"/>
        <v>FOR</v>
      </c>
      <c r="O2386" t="s">
        <v>69</v>
      </c>
      <c r="P2386" t="s">
        <v>75</v>
      </c>
      <c r="Q2386">
        <v>2016</v>
      </c>
      <c r="R2386" s="4">
        <v>42563</v>
      </c>
      <c r="S2386" s="2">
        <v>42563</v>
      </c>
      <c r="T2386" s="2">
        <v>42563</v>
      </c>
      <c r="U2386" s="4">
        <v>42623</v>
      </c>
      <c r="V2386" t="s">
        <v>71</v>
      </c>
      <c r="W2386" t="str">
        <f>"              630/PA"</f>
        <v xml:space="preserve">              630/PA</v>
      </c>
      <c r="X2386" s="1">
        <v>1393.03</v>
      </c>
      <c r="Y2386">
        <v>0</v>
      </c>
      <c r="Z2386" s="5">
        <v>1144.71</v>
      </c>
      <c r="AA2386" s="3">
        <v>172</v>
      </c>
      <c r="AB2386" s="5">
        <v>196890.12</v>
      </c>
      <c r="AC2386" s="1">
        <v>1144.71</v>
      </c>
      <c r="AD2386">
        <v>172</v>
      </c>
      <c r="AE2386" s="1">
        <v>196890.12</v>
      </c>
      <c r="AF2386">
        <v>248.32</v>
      </c>
      <c r="AJ2386">
        <v>0</v>
      </c>
      <c r="AK2386">
        <v>0</v>
      </c>
      <c r="AL2386">
        <v>0</v>
      </c>
      <c r="AM2386">
        <v>0</v>
      </c>
      <c r="AN2386">
        <v>0</v>
      </c>
      <c r="AO2386">
        <v>0</v>
      </c>
      <c r="AP2386" s="2">
        <v>42831</v>
      </c>
      <c r="AQ2386" t="s">
        <v>72</v>
      </c>
      <c r="AR2386" t="s">
        <v>72</v>
      </c>
      <c r="AS2386">
        <v>656</v>
      </c>
      <c r="AT2386" s="4">
        <v>42795</v>
      </c>
      <c r="AU2386" t="s">
        <v>73</v>
      </c>
      <c r="AV2386">
        <v>656</v>
      </c>
      <c r="AW2386" s="4">
        <v>42795</v>
      </c>
      <c r="BD2386">
        <v>248.32</v>
      </c>
      <c r="BN2386" t="s">
        <v>74</v>
      </c>
    </row>
    <row r="2387" spans="1:66">
      <c r="A2387">
        <v>106583</v>
      </c>
      <c r="B2387" t="s">
        <v>496</v>
      </c>
      <c r="C2387" s="1">
        <v>43300101</v>
      </c>
      <c r="D2387" t="s">
        <v>67</v>
      </c>
      <c r="H2387" t="str">
        <f t="shared" si="308"/>
        <v>08959351001</v>
      </c>
      <c r="I2387" t="str">
        <f t="shared" si="308"/>
        <v>08959351001</v>
      </c>
      <c r="K2387" t="str">
        <f>""</f>
        <v/>
      </c>
      <c r="M2387" t="s">
        <v>68</v>
      </c>
      <c r="N2387" t="str">
        <f t="shared" si="307"/>
        <v>FOR</v>
      </c>
      <c r="O2387" t="s">
        <v>69</v>
      </c>
      <c r="P2387" t="s">
        <v>75</v>
      </c>
      <c r="Q2387">
        <v>2016</v>
      </c>
      <c r="R2387" s="4">
        <v>42563</v>
      </c>
      <c r="S2387" s="2">
        <v>42565</v>
      </c>
      <c r="T2387" s="2">
        <v>42563</v>
      </c>
      <c r="U2387" s="4">
        <v>42623</v>
      </c>
      <c r="V2387" t="s">
        <v>71</v>
      </c>
      <c r="W2387" t="str">
        <f>"              631/PA"</f>
        <v xml:space="preserve">              631/PA</v>
      </c>
      <c r="X2387" s="1">
        <v>1538.87</v>
      </c>
      <c r="Y2387">
        <v>0</v>
      </c>
      <c r="Z2387" s="5">
        <v>1264.25</v>
      </c>
      <c r="AA2387" s="3">
        <v>172</v>
      </c>
      <c r="AB2387" s="5">
        <v>217451</v>
      </c>
      <c r="AC2387" s="1">
        <v>1264.25</v>
      </c>
      <c r="AD2387">
        <v>172</v>
      </c>
      <c r="AE2387" s="1">
        <v>217451</v>
      </c>
      <c r="AF2387">
        <v>274.62</v>
      </c>
      <c r="AJ2387">
        <v>0</v>
      </c>
      <c r="AK2387">
        <v>0</v>
      </c>
      <c r="AL2387">
        <v>0</v>
      </c>
      <c r="AM2387">
        <v>0</v>
      </c>
      <c r="AN2387">
        <v>0</v>
      </c>
      <c r="AO2387">
        <v>0</v>
      </c>
      <c r="AP2387" s="2">
        <v>42831</v>
      </c>
      <c r="AQ2387" t="s">
        <v>72</v>
      </c>
      <c r="AR2387" t="s">
        <v>72</v>
      </c>
      <c r="AS2387">
        <v>656</v>
      </c>
      <c r="AT2387" s="4">
        <v>42795</v>
      </c>
      <c r="AU2387" t="s">
        <v>73</v>
      </c>
      <c r="AV2387">
        <v>656</v>
      </c>
      <c r="AW2387" s="4">
        <v>42795</v>
      </c>
      <c r="BD2387">
        <v>274.62</v>
      </c>
      <c r="BN2387" t="s">
        <v>74</v>
      </c>
    </row>
    <row r="2388" spans="1:66">
      <c r="A2388">
        <v>106583</v>
      </c>
      <c r="B2388" t="s">
        <v>496</v>
      </c>
      <c r="C2388" s="1">
        <v>43300101</v>
      </c>
      <c r="D2388" t="s">
        <v>67</v>
      </c>
      <c r="H2388" t="str">
        <f t="shared" si="308"/>
        <v>08959351001</v>
      </c>
      <c r="I2388" t="str">
        <f t="shared" si="308"/>
        <v>08959351001</v>
      </c>
      <c r="K2388" t="str">
        <f>""</f>
        <v/>
      </c>
      <c r="M2388" t="s">
        <v>68</v>
      </c>
      <c r="N2388" t="str">
        <f t="shared" si="307"/>
        <v>FOR</v>
      </c>
      <c r="O2388" t="s">
        <v>69</v>
      </c>
      <c r="P2388" t="s">
        <v>75</v>
      </c>
      <c r="Q2388">
        <v>2016</v>
      </c>
      <c r="R2388" s="4">
        <v>42565</v>
      </c>
      <c r="S2388" s="2">
        <v>42577</v>
      </c>
      <c r="T2388" s="2">
        <v>42567</v>
      </c>
      <c r="U2388" s="4">
        <v>42627</v>
      </c>
      <c r="V2388" t="s">
        <v>71</v>
      </c>
      <c r="W2388" t="str">
        <f>"              647/PA"</f>
        <v xml:space="preserve">              647/PA</v>
      </c>
      <c r="X2388" s="1">
        <v>1551.33</v>
      </c>
      <c r="Y2388">
        <v>0</v>
      </c>
      <c r="Z2388" s="5">
        <v>1274.47</v>
      </c>
      <c r="AA2388" s="3">
        <v>168</v>
      </c>
      <c r="AB2388" s="5">
        <v>214110.96</v>
      </c>
      <c r="AC2388" s="1">
        <v>1274.47</v>
      </c>
      <c r="AD2388">
        <v>168</v>
      </c>
      <c r="AE2388" s="1">
        <v>214110.96</v>
      </c>
      <c r="AF2388">
        <v>276.86</v>
      </c>
      <c r="AJ2388">
        <v>0</v>
      </c>
      <c r="AK2388">
        <v>0</v>
      </c>
      <c r="AL2388">
        <v>0</v>
      </c>
      <c r="AM2388">
        <v>0</v>
      </c>
      <c r="AN2388">
        <v>0</v>
      </c>
      <c r="AO2388">
        <v>0</v>
      </c>
      <c r="AP2388" s="2">
        <v>42831</v>
      </c>
      <c r="AQ2388" t="s">
        <v>72</v>
      </c>
      <c r="AR2388" t="s">
        <v>72</v>
      </c>
      <c r="AS2388">
        <v>656</v>
      </c>
      <c r="AT2388" s="4">
        <v>42795</v>
      </c>
      <c r="AU2388" t="s">
        <v>73</v>
      </c>
      <c r="AV2388">
        <v>656</v>
      </c>
      <c r="AW2388" s="4">
        <v>42795</v>
      </c>
      <c r="BD2388">
        <v>276.86</v>
      </c>
      <c r="BN2388" t="s">
        <v>74</v>
      </c>
    </row>
    <row r="2389" spans="1:66">
      <c r="A2389">
        <v>106583</v>
      </c>
      <c r="B2389" t="s">
        <v>496</v>
      </c>
      <c r="C2389" s="1">
        <v>43300101</v>
      </c>
      <c r="D2389" t="s">
        <v>67</v>
      </c>
      <c r="H2389" t="str">
        <f t="shared" si="308"/>
        <v>08959351001</v>
      </c>
      <c r="I2389" t="str">
        <f t="shared" si="308"/>
        <v>08959351001</v>
      </c>
      <c r="K2389" t="str">
        <f>""</f>
        <v/>
      </c>
      <c r="M2389" t="s">
        <v>68</v>
      </c>
      <c r="N2389" t="str">
        <f t="shared" si="307"/>
        <v>FOR</v>
      </c>
      <c r="O2389" t="s">
        <v>69</v>
      </c>
      <c r="P2389" t="s">
        <v>75</v>
      </c>
      <c r="Q2389">
        <v>2016</v>
      </c>
      <c r="R2389" s="4">
        <v>42685</v>
      </c>
      <c r="S2389" s="2">
        <v>42688</v>
      </c>
      <c r="T2389" s="2">
        <v>42685</v>
      </c>
      <c r="U2389" s="4">
        <v>42745</v>
      </c>
      <c r="V2389" t="s">
        <v>71</v>
      </c>
      <c r="W2389" t="str">
        <f>"              979/PA"</f>
        <v xml:space="preserve">              979/PA</v>
      </c>
      <c r="X2389" s="1">
        <v>1441.77</v>
      </c>
      <c r="Y2389">
        <v>0</v>
      </c>
      <c r="Z2389" s="5">
        <v>1184.6600000000001</v>
      </c>
      <c r="AA2389" s="3">
        <v>50</v>
      </c>
      <c r="AB2389" s="5">
        <v>59233</v>
      </c>
      <c r="AC2389" s="1">
        <v>1184.6600000000001</v>
      </c>
      <c r="AD2389">
        <v>50</v>
      </c>
      <c r="AE2389" s="1">
        <v>59233</v>
      </c>
      <c r="AF2389">
        <v>257.11</v>
      </c>
      <c r="AJ2389">
        <v>0</v>
      </c>
      <c r="AK2389">
        <v>0</v>
      </c>
      <c r="AL2389">
        <v>0</v>
      </c>
      <c r="AM2389">
        <v>0</v>
      </c>
      <c r="AN2389">
        <v>0</v>
      </c>
      <c r="AO2389">
        <v>0</v>
      </c>
      <c r="AP2389" s="2">
        <v>42831</v>
      </c>
      <c r="AQ2389" t="s">
        <v>72</v>
      </c>
      <c r="AR2389" t="s">
        <v>72</v>
      </c>
      <c r="AS2389">
        <v>656</v>
      </c>
      <c r="AT2389" s="4">
        <v>42795</v>
      </c>
      <c r="AU2389" t="s">
        <v>73</v>
      </c>
      <c r="AV2389">
        <v>656</v>
      </c>
      <c r="AW2389" s="4">
        <v>42795</v>
      </c>
      <c r="AZ2389">
        <v>257.11</v>
      </c>
      <c r="BD2389">
        <v>0</v>
      </c>
      <c r="BN2389" t="s">
        <v>74</v>
      </c>
    </row>
    <row r="2390" spans="1:66">
      <c r="A2390">
        <v>106583</v>
      </c>
      <c r="B2390" t="s">
        <v>496</v>
      </c>
      <c r="C2390" s="1">
        <v>43300101</v>
      </c>
      <c r="D2390" t="s">
        <v>67</v>
      </c>
      <c r="H2390" t="str">
        <f t="shared" si="308"/>
        <v>08959351001</v>
      </c>
      <c r="I2390" t="str">
        <f t="shared" si="308"/>
        <v>08959351001</v>
      </c>
      <c r="K2390" t="str">
        <f>""</f>
        <v/>
      </c>
      <c r="M2390" t="s">
        <v>68</v>
      </c>
      <c r="N2390" t="str">
        <f t="shared" si="307"/>
        <v>FOR</v>
      </c>
      <c r="O2390" t="s">
        <v>69</v>
      </c>
      <c r="P2390" t="s">
        <v>75</v>
      </c>
      <c r="Q2390">
        <v>2016</v>
      </c>
      <c r="R2390" s="4">
        <v>42692</v>
      </c>
      <c r="S2390" s="2">
        <v>42695</v>
      </c>
      <c r="T2390" s="2">
        <v>42692</v>
      </c>
      <c r="U2390" s="4">
        <v>42752</v>
      </c>
      <c r="V2390" t="s">
        <v>71</v>
      </c>
      <c r="W2390" t="str">
        <f>"             1011/PA"</f>
        <v xml:space="preserve">             1011/PA</v>
      </c>
      <c r="X2390" s="1">
        <v>1794.61</v>
      </c>
      <c r="Y2390">
        <v>0</v>
      </c>
      <c r="Z2390" s="5">
        <v>1473.88</v>
      </c>
      <c r="AA2390" s="3">
        <v>43</v>
      </c>
      <c r="AB2390" s="5">
        <v>63376.84</v>
      </c>
      <c r="AC2390" s="1">
        <v>1473.88</v>
      </c>
      <c r="AD2390">
        <v>43</v>
      </c>
      <c r="AE2390" s="1">
        <v>63376.84</v>
      </c>
      <c r="AF2390">
        <v>320.73</v>
      </c>
      <c r="AJ2390">
        <v>0</v>
      </c>
      <c r="AK2390">
        <v>0</v>
      </c>
      <c r="AL2390">
        <v>0</v>
      </c>
      <c r="AM2390">
        <v>0</v>
      </c>
      <c r="AN2390">
        <v>0</v>
      </c>
      <c r="AO2390">
        <v>0</v>
      </c>
      <c r="AP2390" s="2">
        <v>42831</v>
      </c>
      <c r="AQ2390" t="s">
        <v>72</v>
      </c>
      <c r="AR2390" t="s">
        <v>72</v>
      </c>
      <c r="AS2390">
        <v>656</v>
      </c>
      <c r="AT2390" s="4">
        <v>42795</v>
      </c>
      <c r="AU2390" t="s">
        <v>73</v>
      </c>
      <c r="AV2390">
        <v>656</v>
      </c>
      <c r="AW2390" s="4">
        <v>42795</v>
      </c>
      <c r="AZ2390">
        <v>320.73</v>
      </c>
      <c r="BD2390">
        <v>0</v>
      </c>
      <c r="BN2390" t="s">
        <v>74</v>
      </c>
    </row>
    <row r="2391" spans="1:66">
      <c r="A2391">
        <v>106583</v>
      </c>
      <c r="B2391" t="s">
        <v>496</v>
      </c>
      <c r="C2391" s="1">
        <v>43300101</v>
      </c>
      <c r="D2391" t="s">
        <v>67</v>
      </c>
      <c r="H2391" t="str">
        <f t="shared" si="308"/>
        <v>08959351001</v>
      </c>
      <c r="I2391" t="str">
        <f t="shared" si="308"/>
        <v>08959351001</v>
      </c>
      <c r="K2391" t="str">
        <f>""</f>
        <v/>
      </c>
      <c r="M2391" t="s">
        <v>68</v>
      </c>
      <c r="N2391" t="str">
        <f t="shared" si="307"/>
        <v>FOR</v>
      </c>
      <c r="O2391" t="s">
        <v>69</v>
      </c>
      <c r="P2391" t="s">
        <v>75</v>
      </c>
      <c r="Q2391">
        <v>2016</v>
      </c>
      <c r="R2391" s="4">
        <v>42705</v>
      </c>
      <c r="S2391" s="2">
        <v>42706</v>
      </c>
      <c r="T2391" s="2">
        <v>42705</v>
      </c>
      <c r="U2391" s="4">
        <v>42765</v>
      </c>
      <c r="V2391" t="s">
        <v>71</v>
      </c>
      <c r="W2391" t="str">
        <f>"             1070/PA"</f>
        <v xml:space="preserve">             1070/PA</v>
      </c>
      <c r="X2391" s="1">
        <v>1673.07</v>
      </c>
      <c r="Y2391">
        <v>0</v>
      </c>
      <c r="Z2391" s="5">
        <v>1374.25</v>
      </c>
      <c r="AA2391" s="3">
        <v>30</v>
      </c>
      <c r="AB2391" s="5">
        <v>41227.5</v>
      </c>
      <c r="AC2391" s="1">
        <v>1374.25</v>
      </c>
      <c r="AD2391">
        <v>30</v>
      </c>
      <c r="AE2391" s="1">
        <v>41227.5</v>
      </c>
      <c r="AF2391">
        <v>298.82</v>
      </c>
      <c r="AJ2391">
        <v>0</v>
      </c>
      <c r="AK2391">
        <v>0</v>
      </c>
      <c r="AL2391">
        <v>0</v>
      </c>
      <c r="AM2391">
        <v>0</v>
      </c>
      <c r="AN2391">
        <v>0</v>
      </c>
      <c r="AO2391">
        <v>0</v>
      </c>
      <c r="AP2391" s="2">
        <v>42831</v>
      </c>
      <c r="AQ2391" t="s">
        <v>72</v>
      </c>
      <c r="AR2391" t="s">
        <v>72</v>
      </c>
      <c r="AS2391">
        <v>656</v>
      </c>
      <c r="AT2391" s="4">
        <v>42795</v>
      </c>
      <c r="AU2391" t="s">
        <v>73</v>
      </c>
      <c r="AV2391">
        <v>656</v>
      </c>
      <c r="AW2391" s="4">
        <v>42795</v>
      </c>
      <c r="AZ2391">
        <v>298.82</v>
      </c>
      <c r="BD2391">
        <v>0</v>
      </c>
      <c r="BN2391" t="s">
        <v>74</v>
      </c>
    </row>
    <row r="2392" spans="1:66">
      <c r="A2392">
        <v>106587</v>
      </c>
      <c r="B2392" t="s">
        <v>497</v>
      </c>
      <c r="C2392" s="1">
        <v>43300101</v>
      </c>
      <c r="D2392" t="s">
        <v>67</v>
      </c>
      <c r="H2392" t="str">
        <f>"06403530584"</f>
        <v>06403530584</v>
      </c>
      <c r="I2392" t="str">
        <f>"01544191008"</f>
        <v>01544191008</v>
      </c>
      <c r="K2392" t="str">
        <f>""</f>
        <v/>
      </c>
      <c r="M2392" t="s">
        <v>68</v>
      </c>
      <c r="N2392" t="str">
        <f t="shared" si="307"/>
        <v>FOR</v>
      </c>
      <c r="O2392" t="s">
        <v>69</v>
      </c>
      <c r="P2392" t="s">
        <v>75</v>
      </c>
      <c r="Q2392">
        <v>2016</v>
      </c>
      <c r="R2392" s="4">
        <v>42424</v>
      </c>
      <c r="S2392" s="2">
        <v>42429</v>
      </c>
      <c r="T2392" s="2">
        <v>42426</v>
      </c>
      <c r="U2392" s="4">
        <v>42486</v>
      </c>
      <c r="V2392" t="s">
        <v>71</v>
      </c>
      <c r="W2392" t="str">
        <f>"                  29"</f>
        <v xml:space="preserve">                  29</v>
      </c>
      <c r="X2392" s="1">
        <v>1436.18</v>
      </c>
      <c r="Y2392">
        <v>0</v>
      </c>
      <c r="Z2392" s="5">
        <v>1177.2</v>
      </c>
      <c r="AA2392" s="3">
        <v>314</v>
      </c>
      <c r="AB2392" s="5">
        <v>369640.8</v>
      </c>
      <c r="AC2392" s="1">
        <v>1177.2</v>
      </c>
      <c r="AD2392">
        <v>314</v>
      </c>
      <c r="AE2392" s="1">
        <v>369640.8</v>
      </c>
      <c r="AF2392">
        <v>258.98</v>
      </c>
      <c r="AJ2392">
        <v>0</v>
      </c>
      <c r="AK2392">
        <v>0</v>
      </c>
      <c r="AL2392">
        <v>0</v>
      </c>
      <c r="AM2392">
        <v>0</v>
      </c>
      <c r="AN2392">
        <v>0</v>
      </c>
      <c r="AO2392">
        <v>0</v>
      </c>
      <c r="AP2392" s="2">
        <v>42831</v>
      </c>
      <c r="AQ2392" t="s">
        <v>72</v>
      </c>
      <c r="AR2392" t="s">
        <v>72</v>
      </c>
      <c r="AS2392">
        <v>734</v>
      </c>
      <c r="AT2392" s="4">
        <v>42800</v>
      </c>
      <c r="AU2392" t="s">
        <v>73</v>
      </c>
      <c r="AV2392">
        <v>734</v>
      </c>
      <c r="AW2392" s="4">
        <v>42800</v>
      </c>
      <c r="BD2392">
        <v>258.98</v>
      </c>
      <c r="BN2392" t="s">
        <v>74</v>
      </c>
    </row>
    <row r="2393" spans="1:66">
      <c r="A2393">
        <v>106597</v>
      </c>
      <c r="B2393" t="s">
        <v>498</v>
      </c>
      <c r="C2393" s="1">
        <v>43500101</v>
      </c>
      <c r="D2393" t="s">
        <v>98</v>
      </c>
      <c r="H2393" t="str">
        <f>"97584460584"</f>
        <v>97584460584</v>
      </c>
      <c r="I2393" t="str">
        <f>""</f>
        <v/>
      </c>
      <c r="K2393" t="str">
        <f>""</f>
        <v/>
      </c>
      <c r="M2393" t="s">
        <v>68</v>
      </c>
      <c r="N2393" t="str">
        <f>"ALT"</f>
        <v>ALT</v>
      </c>
      <c r="O2393" t="s">
        <v>99</v>
      </c>
      <c r="P2393" t="s">
        <v>499</v>
      </c>
      <c r="Q2393">
        <v>2017</v>
      </c>
      <c r="R2393" s="4">
        <v>42793</v>
      </c>
      <c r="S2393" s="2">
        <v>42793</v>
      </c>
      <c r="T2393" s="2">
        <v>42793</v>
      </c>
      <c r="U2393" s="4">
        <v>42853</v>
      </c>
      <c r="V2393" t="s">
        <v>71</v>
      </c>
      <c r="W2393" t="str">
        <f>"                  35"</f>
        <v xml:space="preserve">                  35</v>
      </c>
      <c r="X2393">
        <v>0</v>
      </c>
      <c r="Y2393" s="1">
        <v>2265</v>
      </c>
      <c r="Z2393" s="5">
        <v>2265</v>
      </c>
      <c r="AA2393" s="3">
        <v>-60</v>
      </c>
      <c r="AB2393" s="5">
        <v>-135900</v>
      </c>
      <c r="AC2393" s="1">
        <v>2265</v>
      </c>
      <c r="AD2393">
        <v>-60</v>
      </c>
      <c r="AE2393" s="1">
        <v>-135900</v>
      </c>
      <c r="AF2393">
        <v>0</v>
      </c>
      <c r="AJ2393">
        <v>0</v>
      </c>
      <c r="AK2393" s="1">
        <v>2265</v>
      </c>
      <c r="AL2393" s="1">
        <v>2265</v>
      </c>
      <c r="AM2393">
        <v>0</v>
      </c>
      <c r="AN2393" s="1">
        <v>2265</v>
      </c>
      <c r="AO2393" s="1">
        <v>2265</v>
      </c>
      <c r="AP2393" s="2">
        <v>42831</v>
      </c>
      <c r="AQ2393" t="s">
        <v>72</v>
      </c>
      <c r="AR2393" t="s">
        <v>72</v>
      </c>
      <c r="AS2393">
        <v>581</v>
      </c>
      <c r="AT2393" s="4">
        <v>42793</v>
      </c>
      <c r="AV2393">
        <v>581</v>
      </c>
      <c r="AW2393" s="4">
        <v>42793</v>
      </c>
      <c r="BD2393">
        <v>0</v>
      </c>
      <c r="BN2393" t="s">
        <v>74</v>
      </c>
    </row>
    <row r="2394" spans="1:66">
      <c r="A2394">
        <v>106599</v>
      </c>
      <c r="B2394" t="s">
        <v>500</v>
      </c>
      <c r="C2394" s="1">
        <v>43300101</v>
      </c>
      <c r="D2394" t="s">
        <v>67</v>
      </c>
      <c r="H2394" t="str">
        <f t="shared" ref="H2394:I2396" si="309">"05304500654"</f>
        <v>05304500654</v>
      </c>
      <c r="I2394" t="str">
        <f t="shared" si="309"/>
        <v>05304500654</v>
      </c>
      <c r="K2394" t="str">
        <f>""</f>
        <v/>
      </c>
      <c r="M2394" t="s">
        <v>68</v>
      </c>
      <c r="N2394" t="str">
        <f t="shared" ref="N2394:N2402" si="310">"FOR"</f>
        <v>FOR</v>
      </c>
      <c r="O2394" t="s">
        <v>69</v>
      </c>
      <c r="P2394" t="s">
        <v>75</v>
      </c>
      <c r="Q2394">
        <v>2016</v>
      </c>
      <c r="R2394" s="4">
        <v>42495</v>
      </c>
      <c r="S2394" s="2">
        <v>42501</v>
      </c>
      <c r="T2394" s="2">
        <v>42500</v>
      </c>
      <c r="U2394" s="4">
        <v>42560</v>
      </c>
      <c r="V2394" t="s">
        <v>71</v>
      </c>
      <c r="W2394" t="str">
        <f>"                   9"</f>
        <v xml:space="preserve">                   9</v>
      </c>
      <c r="X2394">
        <v>796.28</v>
      </c>
      <c r="Y2394">
        <v>0</v>
      </c>
      <c r="Z2394" s="5">
        <v>652.69000000000005</v>
      </c>
      <c r="AA2394" s="3">
        <v>208</v>
      </c>
      <c r="AB2394" s="5">
        <v>135759.51999999999</v>
      </c>
      <c r="AC2394">
        <v>652.69000000000005</v>
      </c>
      <c r="AD2394">
        <v>208</v>
      </c>
      <c r="AE2394" s="1">
        <v>135759.51999999999</v>
      </c>
      <c r="AF2394">
        <v>0</v>
      </c>
      <c r="AJ2394">
        <v>0</v>
      </c>
      <c r="AK2394">
        <v>0</v>
      </c>
      <c r="AL2394">
        <v>0</v>
      </c>
      <c r="AM2394">
        <v>0</v>
      </c>
      <c r="AN2394">
        <v>0</v>
      </c>
      <c r="AO2394">
        <v>0</v>
      </c>
      <c r="AP2394" s="2">
        <v>42831</v>
      </c>
      <c r="AQ2394" t="s">
        <v>72</v>
      </c>
      <c r="AR2394" t="s">
        <v>72</v>
      </c>
      <c r="AS2394">
        <v>198</v>
      </c>
      <c r="AT2394" s="4">
        <v>42768</v>
      </c>
      <c r="AU2394" t="s">
        <v>73</v>
      </c>
      <c r="AV2394">
        <v>198</v>
      </c>
      <c r="AW2394" s="4">
        <v>42768</v>
      </c>
      <c r="BD2394">
        <v>0</v>
      </c>
      <c r="BN2394" t="s">
        <v>74</v>
      </c>
    </row>
    <row r="2395" spans="1:66">
      <c r="A2395">
        <v>106599</v>
      </c>
      <c r="B2395" t="s">
        <v>500</v>
      </c>
      <c r="C2395" s="1">
        <v>43300101</v>
      </c>
      <c r="D2395" t="s">
        <v>67</v>
      </c>
      <c r="H2395" t="str">
        <f t="shared" si="309"/>
        <v>05304500654</v>
      </c>
      <c r="I2395" t="str">
        <f t="shared" si="309"/>
        <v>05304500654</v>
      </c>
      <c r="K2395" t="str">
        <f>""</f>
        <v/>
      </c>
      <c r="M2395" t="s">
        <v>68</v>
      </c>
      <c r="N2395" t="str">
        <f t="shared" si="310"/>
        <v>FOR</v>
      </c>
      <c r="O2395" t="s">
        <v>69</v>
      </c>
      <c r="P2395" t="s">
        <v>75</v>
      </c>
      <c r="Q2395">
        <v>2016</v>
      </c>
      <c r="R2395" s="4">
        <v>42495</v>
      </c>
      <c r="S2395" s="2">
        <v>42501</v>
      </c>
      <c r="T2395" s="2">
        <v>42501</v>
      </c>
      <c r="U2395" s="4">
        <v>42561</v>
      </c>
      <c r="V2395" t="s">
        <v>71</v>
      </c>
      <c r="W2395" t="str">
        <f>"                  10"</f>
        <v xml:space="preserve">                  10</v>
      </c>
      <c r="X2395">
        <v>796.28</v>
      </c>
      <c r="Y2395">
        <v>0</v>
      </c>
      <c r="Z2395" s="5">
        <v>652.69000000000005</v>
      </c>
      <c r="AA2395" s="3">
        <v>207</v>
      </c>
      <c r="AB2395" s="5">
        <v>135106.82999999999</v>
      </c>
      <c r="AC2395">
        <v>652.69000000000005</v>
      </c>
      <c r="AD2395">
        <v>207</v>
      </c>
      <c r="AE2395" s="1">
        <v>135106.82999999999</v>
      </c>
      <c r="AF2395">
        <v>0</v>
      </c>
      <c r="AJ2395">
        <v>0</v>
      </c>
      <c r="AK2395">
        <v>0</v>
      </c>
      <c r="AL2395">
        <v>0</v>
      </c>
      <c r="AM2395">
        <v>0</v>
      </c>
      <c r="AN2395">
        <v>0</v>
      </c>
      <c r="AO2395">
        <v>0</v>
      </c>
      <c r="AP2395" s="2">
        <v>42831</v>
      </c>
      <c r="AQ2395" t="s">
        <v>72</v>
      </c>
      <c r="AR2395" t="s">
        <v>72</v>
      </c>
      <c r="AS2395">
        <v>198</v>
      </c>
      <c r="AT2395" s="4">
        <v>42768</v>
      </c>
      <c r="AU2395" t="s">
        <v>73</v>
      </c>
      <c r="AV2395">
        <v>198</v>
      </c>
      <c r="AW2395" s="4">
        <v>42768</v>
      </c>
      <c r="BD2395">
        <v>0</v>
      </c>
      <c r="BN2395" t="s">
        <v>74</v>
      </c>
    </row>
    <row r="2396" spans="1:66">
      <c r="A2396">
        <v>106599</v>
      </c>
      <c r="B2396" t="s">
        <v>500</v>
      </c>
      <c r="C2396" s="1">
        <v>43300101</v>
      </c>
      <c r="D2396" t="s">
        <v>67</v>
      </c>
      <c r="H2396" t="str">
        <f t="shared" si="309"/>
        <v>05304500654</v>
      </c>
      <c r="I2396" t="str">
        <f t="shared" si="309"/>
        <v>05304500654</v>
      </c>
      <c r="K2396" t="str">
        <f>""</f>
        <v/>
      </c>
      <c r="M2396" t="s">
        <v>68</v>
      </c>
      <c r="N2396" t="str">
        <f t="shared" si="310"/>
        <v>FOR</v>
      </c>
      <c r="O2396" t="s">
        <v>69</v>
      </c>
      <c r="P2396" t="s">
        <v>75</v>
      </c>
      <c r="Q2396">
        <v>2016</v>
      </c>
      <c r="R2396" s="4">
        <v>42569</v>
      </c>
      <c r="S2396" s="2">
        <v>42591</v>
      </c>
      <c r="T2396" s="2">
        <v>42587</v>
      </c>
      <c r="U2396" s="4">
        <v>42647</v>
      </c>
      <c r="V2396" t="s">
        <v>71</v>
      </c>
      <c r="W2396" t="str">
        <f>"                  16"</f>
        <v xml:space="preserve">                  16</v>
      </c>
      <c r="X2396" s="1">
        <v>1592.87</v>
      </c>
      <c r="Y2396">
        <v>0</v>
      </c>
      <c r="Z2396" s="5">
        <v>1305.6300000000001</v>
      </c>
      <c r="AA2396" s="3">
        <v>121</v>
      </c>
      <c r="AB2396" s="5">
        <v>157981.23000000001</v>
      </c>
      <c r="AC2396" s="1">
        <v>1305.6300000000001</v>
      </c>
      <c r="AD2396">
        <v>121</v>
      </c>
      <c r="AE2396" s="1">
        <v>157981.23000000001</v>
      </c>
      <c r="AF2396">
        <v>0</v>
      </c>
      <c r="AJ2396">
        <v>0</v>
      </c>
      <c r="AK2396">
        <v>0</v>
      </c>
      <c r="AL2396">
        <v>0</v>
      </c>
      <c r="AM2396">
        <v>0</v>
      </c>
      <c r="AN2396">
        <v>0</v>
      </c>
      <c r="AO2396">
        <v>0</v>
      </c>
      <c r="AP2396" s="2">
        <v>42831</v>
      </c>
      <c r="AQ2396" t="s">
        <v>72</v>
      </c>
      <c r="AR2396" t="s">
        <v>72</v>
      </c>
      <c r="AS2396">
        <v>198</v>
      </c>
      <c r="AT2396" s="4">
        <v>42768</v>
      </c>
      <c r="AU2396" t="s">
        <v>73</v>
      </c>
      <c r="AV2396">
        <v>198</v>
      </c>
      <c r="AW2396" s="4">
        <v>42768</v>
      </c>
      <c r="BD2396">
        <v>0</v>
      </c>
      <c r="BN2396" t="s">
        <v>74</v>
      </c>
    </row>
    <row r="2397" spans="1:66">
      <c r="A2397">
        <v>106601</v>
      </c>
      <c r="B2397" t="s">
        <v>501</v>
      </c>
      <c r="C2397" s="1">
        <v>43300101</v>
      </c>
      <c r="D2397" t="s">
        <v>67</v>
      </c>
      <c r="H2397" t="str">
        <f t="shared" ref="H2397:I2401" si="311">"04647720483"</f>
        <v>04647720483</v>
      </c>
      <c r="I2397" t="str">
        <f t="shared" si="311"/>
        <v>04647720483</v>
      </c>
      <c r="K2397" t="str">
        <f>""</f>
        <v/>
      </c>
      <c r="M2397" t="s">
        <v>68</v>
      </c>
      <c r="N2397" t="str">
        <f t="shared" si="310"/>
        <v>FOR</v>
      </c>
      <c r="O2397" t="s">
        <v>69</v>
      </c>
      <c r="P2397" t="s">
        <v>75</v>
      </c>
      <c r="Q2397">
        <v>2016</v>
      </c>
      <c r="R2397" s="4">
        <v>42521</v>
      </c>
      <c r="S2397" s="2">
        <v>42521</v>
      </c>
      <c r="T2397" s="2">
        <v>42521</v>
      </c>
      <c r="U2397" s="4">
        <v>42581</v>
      </c>
      <c r="V2397" t="s">
        <v>71</v>
      </c>
      <c r="W2397" t="str">
        <f>"          2016007395"</f>
        <v xml:space="preserve">          2016007395</v>
      </c>
      <c r="X2397">
        <v>574.4</v>
      </c>
      <c r="Y2397">
        <v>0</v>
      </c>
      <c r="Z2397" s="5">
        <v>470.82</v>
      </c>
      <c r="AA2397" s="3">
        <v>214</v>
      </c>
      <c r="AB2397" s="5">
        <v>100755.48</v>
      </c>
      <c r="AC2397">
        <v>470.82</v>
      </c>
      <c r="AD2397">
        <v>214</v>
      </c>
      <c r="AE2397" s="1">
        <v>100755.48</v>
      </c>
      <c r="AF2397">
        <v>103.58</v>
      </c>
      <c r="AJ2397">
        <v>0</v>
      </c>
      <c r="AK2397">
        <v>0</v>
      </c>
      <c r="AL2397">
        <v>0</v>
      </c>
      <c r="AM2397">
        <v>0</v>
      </c>
      <c r="AN2397">
        <v>0</v>
      </c>
      <c r="AO2397">
        <v>0</v>
      </c>
      <c r="AP2397" s="2">
        <v>42831</v>
      </c>
      <c r="AQ2397" t="s">
        <v>72</v>
      </c>
      <c r="AR2397" t="s">
        <v>72</v>
      </c>
      <c r="AS2397">
        <v>633</v>
      </c>
      <c r="AT2397" s="4">
        <v>42795</v>
      </c>
      <c r="AU2397" t="s">
        <v>73</v>
      </c>
      <c r="AV2397">
        <v>633</v>
      </c>
      <c r="AW2397" s="4">
        <v>42795</v>
      </c>
      <c r="BD2397">
        <v>103.58</v>
      </c>
      <c r="BN2397" t="s">
        <v>74</v>
      </c>
    </row>
    <row r="2398" spans="1:66">
      <c r="A2398">
        <v>106601</v>
      </c>
      <c r="B2398" t="s">
        <v>501</v>
      </c>
      <c r="C2398" s="1">
        <v>43300101</v>
      </c>
      <c r="D2398" t="s">
        <v>67</v>
      </c>
      <c r="H2398" t="str">
        <f t="shared" si="311"/>
        <v>04647720483</v>
      </c>
      <c r="I2398" t="str">
        <f t="shared" si="311"/>
        <v>04647720483</v>
      </c>
      <c r="K2398" t="str">
        <f>""</f>
        <v/>
      </c>
      <c r="M2398" t="s">
        <v>68</v>
      </c>
      <c r="N2398" t="str">
        <f t="shared" si="310"/>
        <v>FOR</v>
      </c>
      <c r="O2398" t="s">
        <v>69</v>
      </c>
      <c r="P2398" t="s">
        <v>75</v>
      </c>
      <c r="Q2398">
        <v>2016</v>
      </c>
      <c r="R2398" s="4">
        <v>42620</v>
      </c>
      <c r="S2398" s="2">
        <v>42627</v>
      </c>
      <c r="T2398" s="2">
        <v>42620</v>
      </c>
      <c r="U2398" s="4">
        <v>42680</v>
      </c>
      <c r="V2398" t="s">
        <v>71</v>
      </c>
      <c r="W2398" t="str">
        <f>"          2016012146"</f>
        <v xml:space="preserve">          2016012146</v>
      </c>
      <c r="X2398">
        <v>574.4</v>
      </c>
      <c r="Y2398">
        <v>0</v>
      </c>
      <c r="Z2398" s="5">
        <v>470.82</v>
      </c>
      <c r="AA2398" s="3">
        <v>115</v>
      </c>
      <c r="AB2398" s="5">
        <v>54144.3</v>
      </c>
      <c r="AC2398">
        <v>470.82</v>
      </c>
      <c r="AD2398">
        <v>115</v>
      </c>
      <c r="AE2398" s="1">
        <v>54144.3</v>
      </c>
      <c r="AF2398">
        <v>103.58</v>
      </c>
      <c r="AJ2398">
        <v>0</v>
      </c>
      <c r="AK2398">
        <v>0</v>
      </c>
      <c r="AL2398">
        <v>0</v>
      </c>
      <c r="AM2398">
        <v>0</v>
      </c>
      <c r="AN2398">
        <v>0</v>
      </c>
      <c r="AO2398">
        <v>0</v>
      </c>
      <c r="AP2398" s="2">
        <v>42831</v>
      </c>
      <c r="AQ2398" t="s">
        <v>72</v>
      </c>
      <c r="AR2398" t="s">
        <v>72</v>
      </c>
      <c r="AS2398">
        <v>633</v>
      </c>
      <c r="AT2398" s="4">
        <v>42795</v>
      </c>
      <c r="AU2398" t="s">
        <v>73</v>
      </c>
      <c r="AV2398">
        <v>633</v>
      </c>
      <c r="AW2398" s="4">
        <v>42795</v>
      </c>
      <c r="BB2398">
        <v>103.58</v>
      </c>
      <c r="BD2398">
        <v>0</v>
      </c>
      <c r="BN2398" t="s">
        <v>74</v>
      </c>
    </row>
    <row r="2399" spans="1:66">
      <c r="A2399">
        <v>106601</v>
      </c>
      <c r="B2399" t="s">
        <v>501</v>
      </c>
      <c r="C2399" s="1">
        <v>43300101</v>
      </c>
      <c r="D2399" t="s">
        <v>67</v>
      </c>
      <c r="H2399" t="str">
        <f t="shared" si="311"/>
        <v>04647720483</v>
      </c>
      <c r="I2399" t="str">
        <f t="shared" si="311"/>
        <v>04647720483</v>
      </c>
      <c r="K2399" t="str">
        <f>""</f>
        <v/>
      </c>
      <c r="M2399" t="s">
        <v>68</v>
      </c>
      <c r="N2399" t="str">
        <f t="shared" si="310"/>
        <v>FOR</v>
      </c>
      <c r="O2399" t="s">
        <v>69</v>
      </c>
      <c r="P2399" t="s">
        <v>75</v>
      </c>
      <c r="Q2399">
        <v>2016</v>
      </c>
      <c r="R2399" s="4">
        <v>42669</v>
      </c>
      <c r="S2399" s="2">
        <v>42670</v>
      </c>
      <c r="T2399" s="2">
        <v>42669</v>
      </c>
      <c r="U2399" s="4">
        <v>42729</v>
      </c>
      <c r="V2399" t="s">
        <v>71</v>
      </c>
      <c r="W2399" t="str">
        <f>"          2016014617"</f>
        <v xml:space="preserve">          2016014617</v>
      </c>
      <c r="X2399" s="1">
        <v>2920.68</v>
      </c>
      <c r="Y2399">
        <v>0</v>
      </c>
      <c r="Z2399" s="5">
        <v>2394</v>
      </c>
      <c r="AA2399" s="3">
        <v>66</v>
      </c>
      <c r="AB2399" s="5">
        <v>158004</v>
      </c>
      <c r="AC2399" s="1">
        <v>2394</v>
      </c>
      <c r="AD2399">
        <v>66</v>
      </c>
      <c r="AE2399" s="1">
        <v>158004</v>
      </c>
      <c r="AF2399">
        <v>526.67999999999995</v>
      </c>
      <c r="AJ2399">
        <v>0</v>
      </c>
      <c r="AK2399">
        <v>0</v>
      </c>
      <c r="AL2399">
        <v>0</v>
      </c>
      <c r="AM2399">
        <v>0</v>
      </c>
      <c r="AN2399">
        <v>0</v>
      </c>
      <c r="AO2399">
        <v>0</v>
      </c>
      <c r="AP2399" s="2">
        <v>42831</v>
      </c>
      <c r="AQ2399" t="s">
        <v>72</v>
      </c>
      <c r="AR2399" t="s">
        <v>72</v>
      </c>
      <c r="AS2399">
        <v>633</v>
      </c>
      <c r="AT2399" s="4">
        <v>42795</v>
      </c>
      <c r="AU2399" t="s">
        <v>73</v>
      </c>
      <c r="AV2399">
        <v>633</v>
      </c>
      <c r="AW2399" s="4">
        <v>42795</v>
      </c>
      <c r="BA2399">
        <v>526.67999999999995</v>
      </c>
      <c r="BD2399">
        <v>0</v>
      </c>
      <c r="BN2399" t="s">
        <v>74</v>
      </c>
    </row>
    <row r="2400" spans="1:66">
      <c r="A2400">
        <v>106601</v>
      </c>
      <c r="B2400" t="s">
        <v>501</v>
      </c>
      <c r="C2400" s="1">
        <v>43300101</v>
      </c>
      <c r="D2400" t="s">
        <v>67</v>
      </c>
      <c r="H2400" t="str">
        <f t="shared" si="311"/>
        <v>04647720483</v>
      </c>
      <c r="I2400" t="str">
        <f t="shared" si="311"/>
        <v>04647720483</v>
      </c>
      <c r="K2400" t="str">
        <f>""</f>
        <v/>
      </c>
      <c r="M2400" t="s">
        <v>68</v>
      </c>
      <c r="N2400" t="str">
        <f t="shared" si="310"/>
        <v>FOR</v>
      </c>
      <c r="O2400" t="s">
        <v>69</v>
      </c>
      <c r="P2400" t="s">
        <v>75</v>
      </c>
      <c r="Q2400">
        <v>2016</v>
      </c>
      <c r="R2400" s="4">
        <v>42692</v>
      </c>
      <c r="S2400" s="2">
        <v>42696</v>
      </c>
      <c r="T2400" s="2">
        <v>42692</v>
      </c>
      <c r="U2400" s="4">
        <v>42752</v>
      </c>
      <c r="V2400" t="s">
        <v>71</v>
      </c>
      <c r="W2400" t="str">
        <f>"          2016015814"</f>
        <v xml:space="preserve">          2016015814</v>
      </c>
      <c r="X2400">
        <v>527.04</v>
      </c>
      <c r="Y2400">
        <v>0</v>
      </c>
      <c r="Z2400" s="5">
        <v>432</v>
      </c>
      <c r="AA2400" s="3">
        <v>43</v>
      </c>
      <c r="AB2400" s="5">
        <v>18576</v>
      </c>
      <c r="AC2400">
        <v>432</v>
      </c>
      <c r="AD2400">
        <v>43</v>
      </c>
      <c r="AE2400" s="1">
        <v>18576</v>
      </c>
      <c r="AF2400">
        <v>95.04</v>
      </c>
      <c r="AJ2400">
        <v>0</v>
      </c>
      <c r="AK2400">
        <v>0</v>
      </c>
      <c r="AL2400">
        <v>0</v>
      </c>
      <c r="AM2400">
        <v>0</v>
      </c>
      <c r="AN2400">
        <v>0</v>
      </c>
      <c r="AO2400">
        <v>0</v>
      </c>
      <c r="AP2400" s="2">
        <v>42831</v>
      </c>
      <c r="AQ2400" t="s">
        <v>72</v>
      </c>
      <c r="AR2400" t="s">
        <v>72</v>
      </c>
      <c r="AS2400">
        <v>633</v>
      </c>
      <c r="AT2400" s="4">
        <v>42795</v>
      </c>
      <c r="AU2400" t="s">
        <v>73</v>
      </c>
      <c r="AV2400">
        <v>633</v>
      </c>
      <c r="AW2400" s="4">
        <v>42795</v>
      </c>
      <c r="AZ2400">
        <v>95.04</v>
      </c>
      <c r="BD2400">
        <v>0</v>
      </c>
      <c r="BN2400" t="s">
        <v>74</v>
      </c>
    </row>
    <row r="2401" spans="1:66">
      <c r="A2401">
        <v>106601</v>
      </c>
      <c r="B2401" t="s">
        <v>501</v>
      </c>
      <c r="C2401" s="1">
        <v>43300101</v>
      </c>
      <c r="D2401" t="s">
        <v>67</v>
      </c>
      <c r="H2401" t="str">
        <f t="shared" si="311"/>
        <v>04647720483</v>
      </c>
      <c r="I2401" t="str">
        <f t="shared" si="311"/>
        <v>04647720483</v>
      </c>
      <c r="K2401" t="str">
        <f>""</f>
        <v/>
      </c>
      <c r="M2401" t="s">
        <v>68</v>
      </c>
      <c r="N2401" t="str">
        <f t="shared" si="310"/>
        <v>FOR</v>
      </c>
      <c r="O2401" t="s">
        <v>69</v>
      </c>
      <c r="P2401" t="s">
        <v>75</v>
      </c>
      <c r="Q2401">
        <v>2016</v>
      </c>
      <c r="R2401" s="4">
        <v>42718</v>
      </c>
      <c r="S2401" s="2">
        <v>42727</v>
      </c>
      <c r="T2401" s="2">
        <v>42726</v>
      </c>
      <c r="U2401" s="4">
        <v>42786</v>
      </c>
      <c r="V2401" t="s">
        <v>71</v>
      </c>
      <c r="W2401" t="str">
        <f>"          2016017096"</f>
        <v xml:space="preserve">          2016017096</v>
      </c>
      <c r="X2401">
        <v>285.48</v>
      </c>
      <c r="Y2401">
        <v>0</v>
      </c>
      <c r="Z2401" s="5">
        <v>234</v>
      </c>
      <c r="AA2401" s="3">
        <v>9</v>
      </c>
      <c r="AB2401" s="5">
        <v>2106</v>
      </c>
      <c r="AC2401">
        <v>234</v>
      </c>
      <c r="AD2401">
        <v>9</v>
      </c>
      <c r="AE2401" s="1">
        <v>2106</v>
      </c>
      <c r="AF2401">
        <v>51.48</v>
      </c>
      <c r="AJ2401">
        <v>0</v>
      </c>
      <c r="AK2401">
        <v>0</v>
      </c>
      <c r="AL2401">
        <v>0</v>
      </c>
      <c r="AM2401">
        <v>0</v>
      </c>
      <c r="AN2401">
        <v>0</v>
      </c>
      <c r="AO2401">
        <v>0</v>
      </c>
      <c r="AP2401" s="2">
        <v>42831</v>
      </c>
      <c r="AQ2401" t="s">
        <v>72</v>
      </c>
      <c r="AR2401" t="s">
        <v>72</v>
      </c>
      <c r="AS2401">
        <v>633</v>
      </c>
      <c r="AT2401" s="4">
        <v>42795</v>
      </c>
      <c r="AU2401" t="s">
        <v>73</v>
      </c>
      <c r="AV2401">
        <v>633</v>
      </c>
      <c r="AW2401" s="4">
        <v>42795</v>
      </c>
      <c r="AY2401">
        <v>51.48</v>
      </c>
      <c r="BD2401">
        <v>0</v>
      </c>
      <c r="BN2401" t="s">
        <v>74</v>
      </c>
    </row>
    <row r="2402" spans="1:66">
      <c r="A2402">
        <v>106614</v>
      </c>
      <c r="B2402" t="s">
        <v>502</v>
      </c>
      <c r="C2402" s="1">
        <v>43300101</v>
      </c>
      <c r="D2402" t="s">
        <v>67</v>
      </c>
      <c r="H2402" t="str">
        <f>"04396531214"</f>
        <v>04396531214</v>
      </c>
      <c r="I2402" t="str">
        <f>"04396531214"</f>
        <v>04396531214</v>
      </c>
      <c r="K2402" t="str">
        <f>""</f>
        <v/>
      </c>
      <c r="M2402" t="s">
        <v>68</v>
      </c>
      <c r="N2402" t="str">
        <f t="shared" si="310"/>
        <v>FOR</v>
      </c>
      <c r="O2402" t="s">
        <v>69</v>
      </c>
      <c r="P2402" t="s">
        <v>75</v>
      </c>
      <c r="Q2402">
        <v>2016</v>
      </c>
      <c r="R2402" s="4">
        <v>42670</v>
      </c>
      <c r="S2402" s="2">
        <v>42678</v>
      </c>
      <c r="T2402" s="2">
        <v>42676</v>
      </c>
      <c r="U2402" s="4">
        <v>42736</v>
      </c>
      <c r="V2402" t="s">
        <v>71</v>
      </c>
      <c r="W2402" t="str">
        <f>"                  12"</f>
        <v xml:space="preserve">                  12</v>
      </c>
      <c r="X2402" s="1">
        <v>79860</v>
      </c>
      <c r="Y2402">
        <v>0</v>
      </c>
      <c r="Z2402" s="5">
        <v>72600</v>
      </c>
      <c r="AA2402" s="3">
        <v>61</v>
      </c>
      <c r="AB2402" s="5">
        <v>4428600</v>
      </c>
      <c r="AC2402" s="1">
        <v>72600</v>
      </c>
      <c r="AD2402">
        <v>61</v>
      </c>
      <c r="AE2402" s="1">
        <v>4428600</v>
      </c>
      <c r="AF2402" s="1">
        <v>7260</v>
      </c>
      <c r="AJ2402">
        <v>0</v>
      </c>
      <c r="AK2402">
        <v>0</v>
      </c>
      <c r="AL2402">
        <v>0</v>
      </c>
      <c r="AM2402">
        <v>0</v>
      </c>
      <c r="AN2402">
        <v>0</v>
      </c>
      <c r="AO2402">
        <v>0</v>
      </c>
      <c r="AP2402" s="2">
        <v>42831</v>
      </c>
      <c r="AQ2402" t="s">
        <v>72</v>
      </c>
      <c r="AR2402" t="s">
        <v>72</v>
      </c>
      <c r="AS2402">
        <v>706</v>
      </c>
      <c r="AT2402" s="4">
        <v>42797</v>
      </c>
      <c r="AU2402" t="s">
        <v>73</v>
      </c>
      <c r="AV2402">
        <v>706</v>
      </c>
      <c r="AW2402" s="4">
        <v>42797</v>
      </c>
      <c r="AZ2402" s="1">
        <v>7260</v>
      </c>
      <c r="BD2402">
        <v>0</v>
      </c>
      <c r="BN2402" t="s">
        <v>74</v>
      </c>
    </row>
    <row r="2403" spans="1:66" hidden="1">
      <c r="A2403">
        <v>106620</v>
      </c>
      <c r="B2403" t="s">
        <v>503</v>
      </c>
      <c r="C2403" s="1">
        <v>43500101</v>
      </c>
      <c r="D2403" t="s">
        <v>98</v>
      </c>
      <c r="H2403" t="str">
        <f>""</f>
        <v/>
      </c>
      <c r="I2403" t="str">
        <f>"02597720792"</f>
        <v>02597720792</v>
      </c>
      <c r="K2403" t="str">
        <f>""</f>
        <v/>
      </c>
      <c r="M2403" t="s">
        <v>68</v>
      </c>
      <c r="N2403" t="str">
        <f>"ALT"</f>
        <v>ALT</v>
      </c>
      <c r="O2403" t="s">
        <v>99</v>
      </c>
      <c r="P2403" t="s">
        <v>82</v>
      </c>
      <c r="Q2403">
        <v>2017</v>
      </c>
      <c r="R2403" s="4">
        <v>42755</v>
      </c>
      <c r="S2403" s="2">
        <v>42755</v>
      </c>
      <c r="T2403" s="2">
        <v>42755</v>
      </c>
      <c r="U2403" s="4">
        <v>42815</v>
      </c>
      <c r="V2403" t="s">
        <v>71</v>
      </c>
      <c r="W2403" t="str">
        <f>"                0120"</f>
        <v xml:space="preserve">                0120</v>
      </c>
      <c r="X2403">
        <v>0</v>
      </c>
      <c r="Y2403">
        <v>236</v>
      </c>
      <c r="Z2403" s="3">
        <v>236</v>
      </c>
      <c r="AA2403" s="3">
        <v>-57</v>
      </c>
      <c r="AB2403" s="5">
        <v>-13452</v>
      </c>
      <c r="AC2403">
        <v>236</v>
      </c>
      <c r="AD2403">
        <v>-57</v>
      </c>
      <c r="AE2403" s="1">
        <v>-13452</v>
      </c>
      <c r="AF2403">
        <v>0</v>
      </c>
      <c r="AJ2403">
        <v>236</v>
      </c>
      <c r="AK2403">
        <v>236</v>
      </c>
      <c r="AL2403">
        <v>236</v>
      </c>
      <c r="AM2403">
        <v>236</v>
      </c>
      <c r="AN2403">
        <v>236</v>
      </c>
      <c r="AO2403">
        <v>236</v>
      </c>
      <c r="AP2403" s="2">
        <v>42831</v>
      </c>
      <c r="AQ2403" t="s">
        <v>72</v>
      </c>
      <c r="AR2403" t="s">
        <v>72</v>
      </c>
      <c r="AS2403">
        <v>83</v>
      </c>
      <c r="AT2403" s="4">
        <v>42758</v>
      </c>
      <c r="AV2403">
        <v>83</v>
      </c>
      <c r="AW2403" s="4">
        <v>42758</v>
      </c>
      <c r="BD2403">
        <v>0</v>
      </c>
      <c r="BN2403" t="s">
        <v>74</v>
      </c>
    </row>
    <row r="2404" spans="1:66" hidden="1">
      <c r="A2404">
        <v>106620</v>
      </c>
      <c r="B2404" t="s">
        <v>503</v>
      </c>
      <c r="C2404" s="1">
        <v>43500101</v>
      </c>
      <c r="D2404" t="s">
        <v>98</v>
      </c>
      <c r="H2404" t="str">
        <f>""</f>
        <v/>
      </c>
      <c r="I2404" t="str">
        <f>"02597720792"</f>
        <v>02597720792</v>
      </c>
      <c r="K2404" t="str">
        <f>""</f>
        <v/>
      </c>
      <c r="M2404" t="s">
        <v>68</v>
      </c>
      <c r="N2404" t="str">
        <f>"ALT"</f>
        <v>ALT</v>
      </c>
      <c r="O2404" t="s">
        <v>99</v>
      </c>
      <c r="P2404" t="s">
        <v>83</v>
      </c>
      <c r="Q2404">
        <v>2017</v>
      </c>
      <c r="R2404" s="4">
        <v>42786</v>
      </c>
      <c r="S2404" s="2">
        <v>42787</v>
      </c>
      <c r="T2404" s="2">
        <v>42787</v>
      </c>
      <c r="U2404" s="4">
        <v>42847</v>
      </c>
      <c r="V2404" t="s">
        <v>71</v>
      </c>
      <c r="W2404" t="str">
        <f>"                0220"</f>
        <v xml:space="preserve">                0220</v>
      </c>
      <c r="X2404">
        <v>0</v>
      </c>
      <c r="Y2404">
        <v>236</v>
      </c>
      <c r="Z2404" s="3">
        <v>236</v>
      </c>
      <c r="AA2404" s="3">
        <v>-60</v>
      </c>
      <c r="AB2404" s="5">
        <v>-14160</v>
      </c>
      <c r="AC2404">
        <v>236</v>
      </c>
      <c r="AD2404">
        <v>-60</v>
      </c>
      <c r="AE2404" s="1">
        <v>-14160</v>
      </c>
      <c r="AF2404">
        <v>0</v>
      </c>
      <c r="AJ2404">
        <v>236</v>
      </c>
      <c r="AK2404">
        <v>236</v>
      </c>
      <c r="AL2404">
        <v>236</v>
      </c>
      <c r="AM2404">
        <v>236</v>
      </c>
      <c r="AN2404">
        <v>236</v>
      </c>
      <c r="AO2404">
        <v>236</v>
      </c>
      <c r="AP2404" s="2">
        <v>42831</v>
      </c>
      <c r="AQ2404" t="s">
        <v>72</v>
      </c>
      <c r="AR2404" t="s">
        <v>72</v>
      </c>
      <c r="AS2404">
        <v>563</v>
      </c>
      <c r="AT2404" s="4">
        <v>42787</v>
      </c>
      <c r="AV2404">
        <v>563</v>
      </c>
      <c r="AW2404" s="4">
        <v>42787</v>
      </c>
      <c r="BD2404">
        <v>0</v>
      </c>
      <c r="BN2404" t="s">
        <v>74</v>
      </c>
    </row>
    <row r="2405" spans="1:66" hidden="1">
      <c r="A2405">
        <v>106620</v>
      </c>
      <c r="B2405" t="s">
        <v>503</v>
      </c>
      <c r="C2405" s="1">
        <v>43500101</v>
      </c>
      <c r="D2405" t="s">
        <v>98</v>
      </c>
      <c r="H2405" t="str">
        <f>""</f>
        <v/>
      </c>
      <c r="I2405" t="str">
        <f>"02597720792"</f>
        <v>02597720792</v>
      </c>
      <c r="K2405" t="str">
        <f>""</f>
        <v/>
      </c>
      <c r="M2405" t="s">
        <v>68</v>
      </c>
      <c r="N2405" t="str">
        <f>"ALT"</f>
        <v>ALT</v>
      </c>
      <c r="O2405" t="s">
        <v>99</v>
      </c>
      <c r="P2405" t="s">
        <v>84</v>
      </c>
      <c r="Q2405">
        <v>2017</v>
      </c>
      <c r="R2405" s="4">
        <v>42815</v>
      </c>
      <c r="S2405" s="2">
        <v>42815</v>
      </c>
      <c r="T2405" s="2">
        <v>42815</v>
      </c>
      <c r="U2405" s="4">
        <v>42875</v>
      </c>
      <c r="V2405" t="s">
        <v>71</v>
      </c>
      <c r="W2405" t="str">
        <f>"                0321"</f>
        <v xml:space="preserve">                0321</v>
      </c>
      <c r="X2405">
        <v>0</v>
      </c>
      <c r="Y2405">
        <v>236</v>
      </c>
      <c r="Z2405" s="3">
        <v>236</v>
      </c>
      <c r="AA2405" s="3">
        <v>-60</v>
      </c>
      <c r="AB2405" s="5">
        <v>-14160</v>
      </c>
      <c r="AC2405">
        <v>236</v>
      </c>
      <c r="AD2405">
        <v>-60</v>
      </c>
      <c r="AE2405" s="1">
        <v>-14160</v>
      </c>
      <c r="AF2405">
        <v>0</v>
      </c>
      <c r="AJ2405">
        <v>236</v>
      </c>
      <c r="AK2405">
        <v>236</v>
      </c>
      <c r="AL2405">
        <v>236</v>
      </c>
      <c r="AM2405">
        <v>236</v>
      </c>
      <c r="AN2405">
        <v>236</v>
      </c>
      <c r="AO2405">
        <v>236</v>
      </c>
      <c r="AP2405" s="2">
        <v>42831</v>
      </c>
      <c r="AQ2405" t="s">
        <v>72</v>
      </c>
      <c r="AR2405" t="s">
        <v>72</v>
      </c>
      <c r="AS2405">
        <v>860</v>
      </c>
      <c r="AT2405" s="4">
        <v>42815</v>
      </c>
      <c r="AV2405">
        <v>860</v>
      </c>
      <c r="AW2405" s="4">
        <v>42815</v>
      </c>
      <c r="BD2405">
        <v>0</v>
      </c>
      <c r="BN2405" t="s">
        <v>74</v>
      </c>
    </row>
    <row r="2406" spans="1:66">
      <c r="A2406">
        <v>106641</v>
      </c>
      <c r="B2406" t="s">
        <v>504</v>
      </c>
      <c r="C2406" s="1">
        <v>43500101</v>
      </c>
      <c r="D2406" t="s">
        <v>98</v>
      </c>
      <c r="H2406" t="str">
        <f>"PLMPLA70T17A783C"</f>
        <v>PLMPLA70T17A783C</v>
      </c>
      <c r="I2406" t="str">
        <f>"01067510626"</f>
        <v>01067510626</v>
      </c>
      <c r="K2406" t="str">
        <f>""</f>
        <v/>
      </c>
      <c r="M2406" t="s">
        <v>68</v>
      </c>
      <c r="N2406" t="str">
        <f>"ALTPRO"</f>
        <v>ALTPRO</v>
      </c>
      <c r="O2406" t="s">
        <v>116</v>
      </c>
      <c r="P2406" t="s">
        <v>120</v>
      </c>
      <c r="Q2406">
        <v>2017</v>
      </c>
      <c r="R2406" s="4">
        <v>42767</v>
      </c>
      <c r="S2406" s="2">
        <v>42767</v>
      </c>
      <c r="T2406" s="2">
        <v>42767</v>
      </c>
      <c r="U2406" s="4">
        <v>42827</v>
      </c>
      <c r="V2406" t="s">
        <v>71</v>
      </c>
      <c r="W2406" t="str">
        <f>"              2PA017"</f>
        <v xml:space="preserve">              2PA017</v>
      </c>
      <c r="X2406" s="1">
        <v>1310.56</v>
      </c>
      <c r="Y2406">
        <v>-206.58</v>
      </c>
      <c r="Z2406" s="5">
        <v>1103.98</v>
      </c>
      <c r="AA2406" s="3">
        <v>-55</v>
      </c>
      <c r="AB2406" s="5">
        <v>-60718.9</v>
      </c>
      <c r="AC2406" s="1">
        <v>1103.98</v>
      </c>
      <c r="AD2406">
        <v>-55</v>
      </c>
      <c r="AE2406" s="1">
        <v>-60718.9</v>
      </c>
      <c r="AF2406">
        <v>0</v>
      </c>
      <c r="AJ2406" s="1">
        <v>1103.98</v>
      </c>
      <c r="AK2406" s="1">
        <v>1103.98</v>
      </c>
      <c r="AL2406" s="1">
        <v>1103.98</v>
      </c>
      <c r="AM2406" s="1">
        <v>1103.98</v>
      </c>
      <c r="AN2406" s="1">
        <v>1103.98</v>
      </c>
      <c r="AO2406" s="1">
        <v>1103.98</v>
      </c>
      <c r="AP2406" s="2">
        <v>42831</v>
      </c>
      <c r="AQ2406" t="s">
        <v>72</v>
      </c>
      <c r="AR2406" t="s">
        <v>72</v>
      </c>
      <c r="AS2406">
        <v>294</v>
      </c>
      <c r="AT2406" s="4">
        <v>42772</v>
      </c>
      <c r="AV2406">
        <v>294</v>
      </c>
      <c r="AW2406" s="4">
        <v>42772</v>
      </c>
      <c r="BD2406">
        <v>0</v>
      </c>
      <c r="BN2406" t="s">
        <v>74</v>
      </c>
    </row>
    <row r="2407" spans="1:66">
      <c r="A2407">
        <v>106641</v>
      </c>
      <c r="B2407" t="s">
        <v>504</v>
      </c>
      <c r="C2407" s="1">
        <v>43500101</v>
      </c>
      <c r="D2407" t="s">
        <v>98</v>
      </c>
      <c r="H2407" t="str">
        <f>"PLMPLA70T17A783C"</f>
        <v>PLMPLA70T17A783C</v>
      </c>
      <c r="I2407" t="str">
        <f>"01067510626"</f>
        <v>01067510626</v>
      </c>
      <c r="K2407" t="str">
        <f>""</f>
        <v/>
      </c>
      <c r="M2407" t="s">
        <v>68</v>
      </c>
      <c r="N2407" t="str">
        <f>"ALTPRO"</f>
        <v>ALTPRO</v>
      </c>
      <c r="O2407" t="s">
        <v>116</v>
      </c>
      <c r="P2407" t="s">
        <v>120</v>
      </c>
      <c r="Q2407">
        <v>2017</v>
      </c>
      <c r="R2407" s="4">
        <v>42796</v>
      </c>
      <c r="S2407" s="2">
        <v>42796</v>
      </c>
      <c r="T2407" s="2">
        <v>42796</v>
      </c>
      <c r="U2407" s="4">
        <v>42856</v>
      </c>
      <c r="V2407" t="s">
        <v>71</v>
      </c>
      <c r="W2407" t="str">
        <f>"              3PA017"</f>
        <v xml:space="preserve">              3PA017</v>
      </c>
      <c r="X2407" s="1">
        <v>1310.56</v>
      </c>
      <c r="Y2407">
        <v>-206.58</v>
      </c>
      <c r="Z2407" s="5">
        <v>1103.98</v>
      </c>
      <c r="AA2407" s="3">
        <v>-59</v>
      </c>
      <c r="AB2407" s="5">
        <v>-65134.82</v>
      </c>
      <c r="AC2407" s="1">
        <v>1103.98</v>
      </c>
      <c r="AD2407">
        <v>-59</v>
      </c>
      <c r="AE2407" s="1">
        <v>-65134.82</v>
      </c>
      <c r="AF2407">
        <v>0</v>
      </c>
      <c r="AJ2407" s="1">
        <v>1103.98</v>
      </c>
      <c r="AK2407" s="1">
        <v>1103.98</v>
      </c>
      <c r="AL2407" s="1">
        <v>1103.98</v>
      </c>
      <c r="AM2407" s="1">
        <v>1103.98</v>
      </c>
      <c r="AN2407" s="1">
        <v>1103.98</v>
      </c>
      <c r="AO2407" s="1">
        <v>1103.98</v>
      </c>
      <c r="AP2407" s="2">
        <v>42831</v>
      </c>
      <c r="AQ2407" t="s">
        <v>72</v>
      </c>
      <c r="AR2407" t="s">
        <v>72</v>
      </c>
      <c r="AS2407">
        <v>731</v>
      </c>
      <c r="AT2407" s="4">
        <v>42797</v>
      </c>
      <c r="AV2407">
        <v>731</v>
      </c>
      <c r="AW2407" s="4">
        <v>42797</v>
      </c>
      <c r="BD2407">
        <v>0</v>
      </c>
      <c r="BN2407" t="s">
        <v>74</v>
      </c>
    </row>
    <row r="2408" spans="1:66">
      <c r="A2408">
        <v>106641</v>
      </c>
      <c r="B2408" t="s">
        <v>504</v>
      </c>
      <c r="C2408" s="1">
        <v>43500101</v>
      </c>
      <c r="D2408" t="s">
        <v>98</v>
      </c>
      <c r="H2408" t="str">
        <f>"PLMPLA70T17A783C"</f>
        <v>PLMPLA70T17A783C</v>
      </c>
      <c r="I2408" t="str">
        <f>"01067510626"</f>
        <v>01067510626</v>
      </c>
      <c r="K2408" t="str">
        <f>""</f>
        <v/>
      </c>
      <c r="M2408" t="s">
        <v>68</v>
      </c>
      <c r="N2408" t="str">
        <f>"ALTPRO"</f>
        <v>ALTPRO</v>
      </c>
      <c r="O2408" t="s">
        <v>116</v>
      </c>
      <c r="P2408" t="s">
        <v>120</v>
      </c>
      <c r="Q2408">
        <v>2017</v>
      </c>
      <c r="R2408" s="4">
        <v>42745</v>
      </c>
      <c r="S2408" s="2">
        <v>42747</v>
      </c>
      <c r="T2408" s="2">
        <v>42745</v>
      </c>
      <c r="U2408" s="4">
        <v>42805</v>
      </c>
      <c r="V2408" t="s">
        <v>71</v>
      </c>
      <c r="W2408" t="str">
        <f>"             1PA2017"</f>
        <v xml:space="preserve">             1PA2017</v>
      </c>
      <c r="X2408" s="1">
        <v>1310.56</v>
      </c>
      <c r="Y2408">
        <v>-206.58</v>
      </c>
      <c r="Z2408" s="5">
        <v>1103.98</v>
      </c>
      <c r="AA2408" s="3">
        <v>-40</v>
      </c>
      <c r="AB2408" s="5">
        <v>-44159.199999999997</v>
      </c>
      <c r="AC2408" s="1">
        <v>1103.98</v>
      </c>
      <c r="AD2408">
        <v>-40</v>
      </c>
      <c r="AE2408" s="1">
        <v>-44159.199999999997</v>
      </c>
      <c r="AF2408">
        <v>0</v>
      </c>
      <c r="AJ2408">
        <v>-206.58</v>
      </c>
      <c r="AK2408" s="1">
        <v>1103.98</v>
      </c>
      <c r="AL2408" s="1">
        <v>1103.98</v>
      </c>
      <c r="AM2408">
        <v>-206.58</v>
      </c>
      <c r="AN2408" s="1">
        <v>1103.98</v>
      </c>
      <c r="AO2408" s="1">
        <v>1103.98</v>
      </c>
      <c r="AP2408" s="2">
        <v>42831</v>
      </c>
      <c r="AQ2408" t="s">
        <v>72</v>
      </c>
      <c r="AR2408" t="s">
        <v>72</v>
      </c>
      <c r="AS2408">
        <v>115</v>
      </c>
      <c r="AT2408" s="4">
        <v>42765</v>
      </c>
      <c r="AV2408">
        <v>115</v>
      </c>
      <c r="AW2408" s="4">
        <v>42765</v>
      </c>
      <c r="BD2408">
        <v>0</v>
      </c>
      <c r="BN2408" t="s">
        <v>74</v>
      </c>
    </row>
    <row r="2409" spans="1:66">
      <c r="A2409">
        <v>106649</v>
      </c>
      <c r="B2409" t="s">
        <v>505</v>
      </c>
      <c r="C2409" s="1">
        <v>43300101</v>
      </c>
      <c r="D2409" t="s">
        <v>67</v>
      </c>
      <c r="H2409" t="str">
        <f>"00384240701"</f>
        <v>00384240701</v>
      </c>
      <c r="I2409" t="str">
        <f>"00384240701"</f>
        <v>00384240701</v>
      </c>
      <c r="K2409" t="str">
        <f>""</f>
        <v/>
      </c>
      <c r="M2409" t="s">
        <v>68</v>
      </c>
      <c r="N2409" t="str">
        <f>"FOR"</f>
        <v>FOR</v>
      </c>
      <c r="O2409" t="s">
        <v>69</v>
      </c>
      <c r="P2409" t="s">
        <v>75</v>
      </c>
      <c r="Q2409">
        <v>2016</v>
      </c>
      <c r="R2409" s="4">
        <v>42674</v>
      </c>
      <c r="S2409" s="2">
        <v>42677</v>
      </c>
      <c r="T2409" s="2">
        <v>42676</v>
      </c>
      <c r="U2409" s="4">
        <v>42736</v>
      </c>
      <c r="V2409" t="s">
        <v>71</v>
      </c>
      <c r="W2409" t="str">
        <f>"             1331/05"</f>
        <v xml:space="preserve">             1331/05</v>
      </c>
      <c r="X2409">
        <v>549</v>
      </c>
      <c r="Y2409">
        <v>0</v>
      </c>
      <c r="Z2409" s="5">
        <v>450</v>
      </c>
      <c r="AA2409" s="3">
        <v>36</v>
      </c>
      <c r="AB2409" s="5">
        <v>16200</v>
      </c>
      <c r="AC2409">
        <v>450</v>
      </c>
      <c r="AD2409">
        <v>36</v>
      </c>
      <c r="AE2409" s="1">
        <v>16200</v>
      </c>
      <c r="AF2409">
        <v>99</v>
      </c>
      <c r="AJ2409">
        <v>0</v>
      </c>
      <c r="AK2409">
        <v>0</v>
      </c>
      <c r="AL2409">
        <v>0</v>
      </c>
      <c r="AM2409">
        <v>0</v>
      </c>
      <c r="AN2409">
        <v>0</v>
      </c>
      <c r="AO2409">
        <v>0</v>
      </c>
      <c r="AP2409" s="2">
        <v>42831</v>
      </c>
      <c r="AQ2409" t="s">
        <v>72</v>
      </c>
      <c r="AR2409" t="s">
        <v>72</v>
      </c>
      <c r="AS2409">
        <v>292</v>
      </c>
      <c r="AT2409" s="4">
        <v>42772</v>
      </c>
      <c r="AU2409" t="s">
        <v>73</v>
      </c>
      <c r="AV2409">
        <v>292</v>
      </c>
      <c r="AW2409" s="4">
        <v>42772</v>
      </c>
      <c r="AZ2409">
        <v>99</v>
      </c>
      <c r="BD2409">
        <v>0</v>
      </c>
      <c r="BN2409" t="s">
        <v>74</v>
      </c>
    </row>
    <row r="2410" spans="1:66">
      <c r="A2410">
        <v>106670</v>
      </c>
      <c r="B2410" t="s">
        <v>506</v>
      </c>
      <c r="C2410" s="1">
        <v>43500101</v>
      </c>
      <c r="D2410" t="s">
        <v>98</v>
      </c>
      <c r="H2410" t="str">
        <f>"TRSNTN79R18I197P"</f>
        <v>TRSNTN79R18I197P</v>
      </c>
      <c r="I2410" t="str">
        <f>"01547570620"</f>
        <v>01547570620</v>
      </c>
      <c r="K2410" t="str">
        <f>""</f>
        <v/>
      </c>
      <c r="M2410" t="s">
        <v>68</v>
      </c>
      <c r="N2410" t="str">
        <f>"ALTPRO"</f>
        <v>ALTPRO</v>
      </c>
      <c r="O2410" t="s">
        <v>116</v>
      </c>
      <c r="P2410" t="s">
        <v>75</v>
      </c>
      <c r="Q2410">
        <v>2017</v>
      </c>
      <c r="R2410" s="4">
        <v>42744</v>
      </c>
      <c r="S2410" s="2">
        <v>42747</v>
      </c>
      <c r="T2410" s="2">
        <v>42744</v>
      </c>
      <c r="U2410" s="4">
        <v>42804</v>
      </c>
      <c r="V2410" t="s">
        <v>71</v>
      </c>
      <c r="W2410" t="str">
        <f>"        FATTPA 01_17"</f>
        <v xml:space="preserve">        FATTPA 01_17</v>
      </c>
      <c r="X2410" s="1">
        <v>2528.64</v>
      </c>
      <c r="Y2410">
        <v>0</v>
      </c>
      <c r="Z2410" s="5">
        <v>2528.64</v>
      </c>
      <c r="AA2410" s="3">
        <v>-39</v>
      </c>
      <c r="AB2410" s="5">
        <v>-98616.960000000006</v>
      </c>
      <c r="AC2410" s="1">
        <v>2528.64</v>
      </c>
      <c r="AD2410">
        <v>-39</v>
      </c>
      <c r="AE2410" s="1">
        <v>-98616.960000000006</v>
      </c>
      <c r="AF2410">
        <v>0</v>
      </c>
      <c r="AJ2410">
        <v>0</v>
      </c>
      <c r="AK2410" s="1">
        <v>2528.64</v>
      </c>
      <c r="AL2410" s="1">
        <v>2528.64</v>
      </c>
      <c r="AM2410">
        <v>0</v>
      </c>
      <c r="AN2410" s="1">
        <v>2528.64</v>
      </c>
      <c r="AO2410" s="1">
        <v>2528.64</v>
      </c>
      <c r="AP2410" s="2">
        <v>42831</v>
      </c>
      <c r="AQ2410" t="s">
        <v>72</v>
      </c>
      <c r="AR2410" t="s">
        <v>72</v>
      </c>
      <c r="AS2410">
        <v>121</v>
      </c>
      <c r="AT2410" s="4">
        <v>42765</v>
      </c>
      <c r="AV2410">
        <v>121</v>
      </c>
      <c r="AW2410" s="4">
        <v>42765</v>
      </c>
      <c r="BD2410">
        <v>0</v>
      </c>
      <c r="BN2410" t="s">
        <v>74</v>
      </c>
    </row>
    <row r="2411" spans="1:66">
      <c r="A2411">
        <v>106670</v>
      </c>
      <c r="B2411" t="s">
        <v>506</v>
      </c>
      <c r="C2411" s="1">
        <v>43500101</v>
      </c>
      <c r="D2411" t="s">
        <v>98</v>
      </c>
      <c r="H2411" t="str">
        <f>"TRSNTN79R18I197P"</f>
        <v>TRSNTN79R18I197P</v>
      </c>
      <c r="I2411" t="str">
        <f>"01547570620"</f>
        <v>01547570620</v>
      </c>
      <c r="K2411" t="str">
        <f>""</f>
        <v/>
      </c>
      <c r="M2411" t="s">
        <v>68</v>
      </c>
      <c r="N2411" t="str">
        <f>"ALTPRO"</f>
        <v>ALTPRO</v>
      </c>
      <c r="O2411" t="s">
        <v>116</v>
      </c>
      <c r="P2411" t="s">
        <v>75</v>
      </c>
      <c r="Q2411">
        <v>2017</v>
      </c>
      <c r="R2411" s="4">
        <v>42776</v>
      </c>
      <c r="S2411" s="2">
        <v>42776</v>
      </c>
      <c r="T2411" s="2">
        <v>42776</v>
      </c>
      <c r="U2411" s="4">
        <v>42836</v>
      </c>
      <c r="V2411" t="s">
        <v>71</v>
      </c>
      <c r="W2411" t="str">
        <f>"        FATTPA 02_17"</f>
        <v xml:space="preserve">        FATTPA 02_17</v>
      </c>
      <c r="X2411" s="1">
        <v>2634</v>
      </c>
      <c r="Y2411">
        <v>-526.79999999999995</v>
      </c>
      <c r="Z2411" s="5">
        <v>2107.1999999999998</v>
      </c>
      <c r="AA2411" s="3">
        <v>-57</v>
      </c>
      <c r="AB2411" s="5">
        <v>-120110.39999999999</v>
      </c>
      <c r="AC2411" s="1">
        <v>2107.1999999999998</v>
      </c>
      <c r="AD2411">
        <v>-57</v>
      </c>
      <c r="AE2411" s="1">
        <v>-120110.39999999999</v>
      </c>
      <c r="AF2411">
        <v>0</v>
      </c>
      <c r="AJ2411" s="1">
        <v>2107.1999999999998</v>
      </c>
      <c r="AK2411" s="1">
        <v>2107.1999999999998</v>
      </c>
      <c r="AL2411" s="1">
        <v>2107.1999999999998</v>
      </c>
      <c r="AM2411" s="1">
        <v>2107.1999999999998</v>
      </c>
      <c r="AN2411" s="1">
        <v>2107.1999999999998</v>
      </c>
      <c r="AO2411" s="1">
        <v>2107.1999999999998</v>
      </c>
      <c r="AP2411" s="2">
        <v>42831</v>
      </c>
      <c r="AQ2411" t="s">
        <v>72</v>
      </c>
      <c r="AR2411" t="s">
        <v>72</v>
      </c>
      <c r="AS2411">
        <v>414</v>
      </c>
      <c r="AT2411" s="4">
        <v>42779</v>
      </c>
      <c r="AV2411">
        <v>414</v>
      </c>
      <c r="AW2411" s="4">
        <v>42779</v>
      </c>
      <c r="BD2411">
        <v>0</v>
      </c>
      <c r="BN2411" t="s">
        <v>74</v>
      </c>
    </row>
    <row r="2412" spans="1:66">
      <c r="A2412">
        <v>106670</v>
      </c>
      <c r="B2412" t="s">
        <v>506</v>
      </c>
      <c r="C2412" s="1">
        <v>43500101</v>
      </c>
      <c r="D2412" t="s">
        <v>98</v>
      </c>
      <c r="H2412" t="str">
        <f>"TRSNTN79R18I197P"</f>
        <v>TRSNTN79R18I197P</v>
      </c>
      <c r="I2412" t="str">
        <f>"01547570620"</f>
        <v>01547570620</v>
      </c>
      <c r="K2412" t="str">
        <f>""</f>
        <v/>
      </c>
      <c r="M2412" t="s">
        <v>68</v>
      </c>
      <c r="N2412" t="str">
        <f>"ALTPRO"</f>
        <v>ALTPRO</v>
      </c>
      <c r="O2412" t="s">
        <v>116</v>
      </c>
      <c r="P2412" t="s">
        <v>75</v>
      </c>
      <c r="Q2412">
        <v>2017</v>
      </c>
      <c r="R2412" s="4">
        <v>42797</v>
      </c>
      <c r="S2412" s="2">
        <v>42811</v>
      </c>
      <c r="T2412" s="2">
        <v>42811</v>
      </c>
      <c r="U2412" s="4">
        <v>42871</v>
      </c>
      <c r="V2412" t="s">
        <v>71</v>
      </c>
      <c r="W2412" t="str">
        <f>"        FATTPA 03_17"</f>
        <v xml:space="preserve">        FATTPA 03_17</v>
      </c>
      <c r="X2412" s="1">
        <v>2491.52</v>
      </c>
      <c r="Y2412">
        <v>-498.3</v>
      </c>
      <c r="Z2412" s="5">
        <v>1993.22</v>
      </c>
      <c r="AA2412" s="3">
        <v>-55</v>
      </c>
      <c r="AB2412" s="5">
        <v>-109627.1</v>
      </c>
      <c r="AC2412" s="1">
        <v>1993.22</v>
      </c>
      <c r="AD2412">
        <v>-55</v>
      </c>
      <c r="AE2412" s="1">
        <v>-109627.1</v>
      </c>
      <c r="AF2412">
        <v>0</v>
      </c>
      <c r="AJ2412" s="1">
        <v>1993.22</v>
      </c>
      <c r="AK2412" s="1">
        <v>1993.22</v>
      </c>
      <c r="AL2412" s="1">
        <v>1993.22</v>
      </c>
      <c r="AM2412" s="1">
        <v>1993.22</v>
      </c>
      <c r="AN2412" s="1">
        <v>1993.22</v>
      </c>
      <c r="AO2412" s="1">
        <v>1993.22</v>
      </c>
      <c r="AP2412" s="2">
        <v>42831</v>
      </c>
      <c r="AQ2412" t="s">
        <v>72</v>
      </c>
      <c r="AR2412" t="s">
        <v>72</v>
      </c>
      <c r="AS2412">
        <v>884</v>
      </c>
      <c r="AT2412" s="4">
        <v>42816</v>
      </c>
      <c r="AV2412">
        <v>884</v>
      </c>
      <c r="AW2412" s="4">
        <v>42816</v>
      </c>
      <c r="BD2412">
        <v>0</v>
      </c>
      <c r="BN2412" t="s">
        <v>74</v>
      </c>
    </row>
    <row r="2413" spans="1:66" hidden="1">
      <c r="A2413">
        <v>106675</v>
      </c>
      <c r="B2413" t="s">
        <v>507</v>
      </c>
      <c r="C2413" s="1">
        <v>43500101</v>
      </c>
      <c r="D2413" t="s">
        <v>98</v>
      </c>
      <c r="H2413" t="str">
        <f>"FRTGPP50T02A328Y"</f>
        <v>FRTGPP50T02A328Y</v>
      </c>
      <c r="I2413" t="str">
        <f>""</f>
        <v/>
      </c>
      <c r="K2413" t="str">
        <f>""</f>
        <v/>
      </c>
      <c r="M2413" t="s">
        <v>68</v>
      </c>
      <c r="N2413" t="str">
        <f>"ALT"</f>
        <v>ALT</v>
      </c>
      <c r="O2413" t="s">
        <v>99</v>
      </c>
      <c r="P2413" t="s">
        <v>82</v>
      </c>
      <c r="Q2413">
        <v>2017</v>
      </c>
      <c r="R2413" s="4">
        <v>42755</v>
      </c>
      <c r="S2413" s="2">
        <v>42755</v>
      </c>
      <c r="T2413" s="2">
        <v>42755</v>
      </c>
      <c r="U2413" s="4">
        <v>42815</v>
      </c>
      <c r="V2413" t="s">
        <v>71</v>
      </c>
      <c r="W2413" t="str">
        <f>"                0120"</f>
        <v xml:space="preserve">                0120</v>
      </c>
      <c r="X2413">
        <v>0</v>
      </c>
      <c r="Y2413">
        <v>351.8</v>
      </c>
      <c r="Z2413" s="3">
        <v>351.8</v>
      </c>
      <c r="AA2413" s="3">
        <v>-57</v>
      </c>
      <c r="AB2413" s="5">
        <v>-20052.599999999999</v>
      </c>
      <c r="AC2413">
        <v>351.8</v>
      </c>
      <c r="AD2413">
        <v>-57</v>
      </c>
      <c r="AE2413" s="1">
        <v>-20052.599999999999</v>
      </c>
      <c r="AF2413">
        <v>0</v>
      </c>
      <c r="AJ2413">
        <v>351.8</v>
      </c>
      <c r="AK2413">
        <v>351.8</v>
      </c>
      <c r="AL2413">
        <v>351.8</v>
      </c>
      <c r="AM2413">
        <v>351.8</v>
      </c>
      <c r="AN2413">
        <v>351.8</v>
      </c>
      <c r="AO2413">
        <v>351.8</v>
      </c>
      <c r="AP2413" s="2">
        <v>42831</v>
      </c>
      <c r="AQ2413" t="s">
        <v>72</v>
      </c>
      <c r="AR2413" t="s">
        <v>72</v>
      </c>
      <c r="AS2413">
        <v>84</v>
      </c>
      <c r="AT2413" s="4">
        <v>42758</v>
      </c>
      <c r="AV2413">
        <v>84</v>
      </c>
      <c r="AW2413" s="4">
        <v>42758</v>
      </c>
      <c r="BD2413">
        <v>0</v>
      </c>
      <c r="BN2413" t="s">
        <v>74</v>
      </c>
    </row>
    <row r="2414" spans="1:66" hidden="1">
      <c r="A2414">
        <v>106675</v>
      </c>
      <c r="B2414" t="s">
        <v>507</v>
      </c>
      <c r="C2414" s="1">
        <v>43500101</v>
      </c>
      <c r="D2414" t="s">
        <v>98</v>
      </c>
      <c r="H2414" t="str">
        <f>"FRTGPP50T02A328Y"</f>
        <v>FRTGPP50T02A328Y</v>
      </c>
      <c r="I2414" t="str">
        <f>""</f>
        <v/>
      </c>
      <c r="K2414" t="str">
        <f>""</f>
        <v/>
      </c>
      <c r="M2414" t="s">
        <v>68</v>
      </c>
      <c r="N2414" t="str">
        <f>"ALT"</f>
        <v>ALT</v>
      </c>
      <c r="O2414" t="s">
        <v>99</v>
      </c>
      <c r="P2414" t="s">
        <v>83</v>
      </c>
      <c r="Q2414">
        <v>2017</v>
      </c>
      <c r="R2414" s="4">
        <v>42786</v>
      </c>
      <c r="S2414" s="2">
        <v>42787</v>
      </c>
      <c r="T2414" s="2">
        <v>42787</v>
      </c>
      <c r="U2414" s="4">
        <v>42847</v>
      </c>
      <c r="V2414" t="s">
        <v>71</v>
      </c>
      <c r="W2414" t="str">
        <f>"                0220"</f>
        <v xml:space="preserve">                0220</v>
      </c>
      <c r="X2414">
        <v>0</v>
      </c>
      <c r="Y2414">
        <v>351.8</v>
      </c>
      <c r="Z2414" s="3">
        <v>351.8</v>
      </c>
      <c r="AA2414" s="3">
        <v>-60</v>
      </c>
      <c r="AB2414" s="5">
        <v>-21108</v>
      </c>
      <c r="AC2414">
        <v>351.8</v>
      </c>
      <c r="AD2414">
        <v>-60</v>
      </c>
      <c r="AE2414" s="1">
        <v>-21108</v>
      </c>
      <c r="AF2414">
        <v>0</v>
      </c>
      <c r="AJ2414">
        <v>351.8</v>
      </c>
      <c r="AK2414">
        <v>351.8</v>
      </c>
      <c r="AL2414">
        <v>351.8</v>
      </c>
      <c r="AM2414">
        <v>351.8</v>
      </c>
      <c r="AN2414">
        <v>351.8</v>
      </c>
      <c r="AO2414">
        <v>351.8</v>
      </c>
      <c r="AP2414" s="2">
        <v>42831</v>
      </c>
      <c r="AQ2414" t="s">
        <v>72</v>
      </c>
      <c r="AR2414" t="s">
        <v>72</v>
      </c>
      <c r="AS2414">
        <v>564</v>
      </c>
      <c r="AT2414" s="4">
        <v>42787</v>
      </c>
      <c r="AV2414">
        <v>564</v>
      </c>
      <c r="AW2414" s="4">
        <v>42787</v>
      </c>
      <c r="BD2414">
        <v>0</v>
      </c>
      <c r="BN2414" t="s">
        <v>74</v>
      </c>
    </row>
    <row r="2415" spans="1:66" hidden="1">
      <c r="A2415">
        <v>106675</v>
      </c>
      <c r="B2415" t="s">
        <v>507</v>
      </c>
      <c r="C2415" s="1">
        <v>43500101</v>
      </c>
      <c r="D2415" t="s">
        <v>98</v>
      </c>
      <c r="H2415" t="str">
        <f>"FRTGPP50T02A328Y"</f>
        <v>FRTGPP50T02A328Y</v>
      </c>
      <c r="I2415" t="str">
        <f>""</f>
        <v/>
      </c>
      <c r="K2415" t="str">
        <f>""</f>
        <v/>
      </c>
      <c r="M2415" t="s">
        <v>68</v>
      </c>
      <c r="N2415" t="str">
        <f>"ALT"</f>
        <v>ALT</v>
      </c>
      <c r="O2415" t="s">
        <v>99</v>
      </c>
      <c r="P2415" t="s">
        <v>84</v>
      </c>
      <c r="Q2415">
        <v>2017</v>
      </c>
      <c r="R2415" s="4">
        <v>42815</v>
      </c>
      <c r="S2415" s="2">
        <v>42815</v>
      </c>
      <c r="T2415" s="2">
        <v>42815</v>
      </c>
      <c r="U2415" s="4">
        <v>42875</v>
      </c>
      <c r="V2415" t="s">
        <v>71</v>
      </c>
      <c r="W2415" t="str">
        <f>"                0321"</f>
        <v xml:space="preserve">                0321</v>
      </c>
      <c r="X2415">
        <v>0</v>
      </c>
      <c r="Y2415">
        <v>351.8</v>
      </c>
      <c r="Z2415" s="3">
        <v>351.8</v>
      </c>
      <c r="AA2415" s="3">
        <v>-60</v>
      </c>
      <c r="AB2415" s="5">
        <v>-21108</v>
      </c>
      <c r="AC2415">
        <v>351.8</v>
      </c>
      <c r="AD2415">
        <v>-60</v>
      </c>
      <c r="AE2415" s="1">
        <v>-21108</v>
      </c>
      <c r="AF2415">
        <v>0</v>
      </c>
      <c r="AJ2415">
        <v>351.8</v>
      </c>
      <c r="AK2415">
        <v>351.8</v>
      </c>
      <c r="AL2415">
        <v>351.8</v>
      </c>
      <c r="AM2415">
        <v>351.8</v>
      </c>
      <c r="AN2415">
        <v>351.8</v>
      </c>
      <c r="AO2415">
        <v>351.8</v>
      </c>
      <c r="AP2415" s="2">
        <v>42831</v>
      </c>
      <c r="AQ2415" t="s">
        <v>72</v>
      </c>
      <c r="AR2415" t="s">
        <v>72</v>
      </c>
      <c r="AS2415">
        <v>861</v>
      </c>
      <c r="AT2415" s="4">
        <v>42815</v>
      </c>
      <c r="AV2415">
        <v>861</v>
      </c>
      <c r="AW2415" s="4">
        <v>42815</v>
      </c>
      <c r="BD2415">
        <v>0</v>
      </c>
      <c r="BN2415" t="s">
        <v>74</v>
      </c>
    </row>
    <row r="2416" spans="1:66">
      <c r="A2416">
        <v>106685</v>
      </c>
      <c r="B2416" t="s">
        <v>508</v>
      </c>
      <c r="C2416" s="1">
        <v>43300101</v>
      </c>
      <c r="D2416" t="s">
        <v>67</v>
      </c>
      <c r="H2416" t="str">
        <f>"05838071008"</f>
        <v>05838071008</v>
      </c>
      <c r="I2416" t="str">
        <f>"05838071008"</f>
        <v>05838071008</v>
      </c>
      <c r="K2416" t="str">
        <f>""</f>
        <v/>
      </c>
      <c r="M2416" t="s">
        <v>68</v>
      </c>
      <c r="N2416" t="str">
        <f t="shared" ref="N2416:N2441" si="312">"FOR"</f>
        <v>FOR</v>
      </c>
      <c r="O2416" t="s">
        <v>69</v>
      </c>
      <c r="P2416" t="s">
        <v>75</v>
      </c>
      <c r="Q2416">
        <v>2016</v>
      </c>
      <c r="R2416" s="4">
        <v>42460</v>
      </c>
      <c r="S2416" s="2">
        <v>42473</v>
      </c>
      <c r="T2416" s="2">
        <v>42466</v>
      </c>
      <c r="U2416" s="4">
        <v>42526</v>
      </c>
      <c r="V2416" t="s">
        <v>71</v>
      </c>
      <c r="W2416" t="str">
        <f>"              100033"</f>
        <v xml:space="preserve">              100033</v>
      </c>
      <c r="X2416" s="1">
        <v>7625</v>
      </c>
      <c r="Y2416">
        <v>0</v>
      </c>
      <c r="Z2416" s="5">
        <v>6250</v>
      </c>
      <c r="AA2416" s="3">
        <v>242</v>
      </c>
      <c r="AB2416" s="5">
        <v>1512500</v>
      </c>
      <c r="AC2416" s="1">
        <v>6250</v>
      </c>
      <c r="AD2416">
        <v>242</v>
      </c>
      <c r="AE2416" s="1">
        <v>1512500</v>
      </c>
      <c r="AF2416">
        <v>0</v>
      </c>
      <c r="AJ2416">
        <v>0</v>
      </c>
      <c r="AK2416">
        <v>0</v>
      </c>
      <c r="AL2416">
        <v>0</v>
      </c>
      <c r="AM2416">
        <v>0</v>
      </c>
      <c r="AN2416">
        <v>0</v>
      </c>
      <c r="AO2416">
        <v>0</v>
      </c>
      <c r="AP2416" s="2">
        <v>42831</v>
      </c>
      <c r="AQ2416" t="s">
        <v>72</v>
      </c>
      <c r="AR2416" t="s">
        <v>72</v>
      </c>
      <c r="AS2416">
        <v>200</v>
      </c>
      <c r="AT2416" s="4">
        <v>42768</v>
      </c>
      <c r="AU2416" t="s">
        <v>73</v>
      </c>
      <c r="AV2416">
        <v>200</v>
      </c>
      <c r="AW2416" s="4">
        <v>42768</v>
      </c>
      <c r="BD2416">
        <v>0</v>
      </c>
      <c r="BN2416" t="s">
        <v>74</v>
      </c>
    </row>
    <row r="2417" spans="1:66">
      <c r="A2417">
        <v>106701</v>
      </c>
      <c r="B2417" t="s">
        <v>509</v>
      </c>
      <c r="C2417" s="1">
        <v>43300101</v>
      </c>
      <c r="D2417" t="s">
        <v>67</v>
      </c>
      <c r="H2417" t="str">
        <f t="shared" ref="H2417:I2430" si="313">"02778080644"</f>
        <v>02778080644</v>
      </c>
      <c r="I2417" t="str">
        <f t="shared" si="313"/>
        <v>02778080644</v>
      </c>
      <c r="K2417" t="str">
        <f>""</f>
        <v/>
      </c>
      <c r="M2417" t="s">
        <v>68</v>
      </c>
      <c r="N2417" t="str">
        <f t="shared" si="312"/>
        <v>FOR</v>
      </c>
      <c r="O2417" t="s">
        <v>69</v>
      </c>
      <c r="P2417" t="s">
        <v>75</v>
      </c>
      <c r="Q2417">
        <v>2016</v>
      </c>
      <c r="R2417" s="4">
        <v>42464</v>
      </c>
      <c r="S2417" s="2">
        <v>42467</v>
      </c>
      <c r="T2417" s="2">
        <v>42467</v>
      </c>
      <c r="U2417" s="4">
        <v>42527</v>
      </c>
      <c r="V2417" t="s">
        <v>71</v>
      </c>
      <c r="W2417" t="str">
        <f>"               39/PA"</f>
        <v xml:space="preserve">               39/PA</v>
      </c>
      <c r="X2417">
        <v>567.29999999999995</v>
      </c>
      <c r="Y2417">
        <v>0</v>
      </c>
      <c r="Z2417" s="5">
        <v>465</v>
      </c>
      <c r="AA2417" s="3">
        <v>240</v>
      </c>
      <c r="AB2417" s="5">
        <v>111600</v>
      </c>
      <c r="AC2417">
        <v>465</v>
      </c>
      <c r="AD2417">
        <v>240</v>
      </c>
      <c r="AE2417" s="1">
        <v>111600</v>
      </c>
      <c r="AF2417">
        <v>0</v>
      </c>
      <c r="AJ2417">
        <v>0</v>
      </c>
      <c r="AK2417">
        <v>0</v>
      </c>
      <c r="AL2417">
        <v>0</v>
      </c>
      <c r="AM2417">
        <v>0</v>
      </c>
      <c r="AN2417">
        <v>0</v>
      </c>
      <c r="AO2417">
        <v>0</v>
      </c>
      <c r="AP2417" s="2">
        <v>42831</v>
      </c>
      <c r="AQ2417" t="s">
        <v>72</v>
      </c>
      <c r="AR2417" t="s">
        <v>72</v>
      </c>
      <c r="AS2417">
        <v>193</v>
      </c>
      <c r="AT2417" s="4">
        <v>42767</v>
      </c>
      <c r="AU2417" t="s">
        <v>73</v>
      </c>
      <c r="AV2417">
        <v>193</v>
      </c>
      <c r="AW2417" s="4">
        <v>42767</v>
      </c>
      <c r="BD2417">
        <v>0</v>
      </c>
      <c r="BN2417" t="s">
        <v>74</v>
      </c>
    </row>
    <row r="2418" spans="1:66">
      <c r="A2418">
        <v>106701</v>
      </c>
      <c r="B2418" t="s">
        <v>509</v>
      </c>
      <c r="C2418" s="1">
        <v>43300101</v>
      </c>
      <c r="D2418" t="s">
        <v>67</v>
      </c>
      <c r="H2418" t="str">
        <f t="shared" si="313"/>
        <v>02778080644</v>
      </c>
      <c r="I2418" t="str">
        <f t="shared" si="313"/>
        <v>02778080644</v>
      </c>
      <c r="K2418" t="str">
        <f>""</f>
        <v/>
      </c>
      <c r="M2418" t="s">
        <v>68</v>
      </c>
      <c r="N2418" t="str">
        <f t="shared" si="312"/>
        <v>FOR</v>
      </c>
      <c r="O2418" t="s">
        <v>69</v>
      </c>
      <c r="P2418" t="s">
        <v>75</v>
      </c>
      <c r="Q2418">
        <v>2016</v>
      </c>
      <c r="R2418" s="4">
        <v>42464</v>
      </c>
      <c r="S2418" s="2">
        <v>42467</v>
      </c>
      <c r="T2418" s="2">
        <v>42467</v>
      </c>
      <c r="U2418" s="4">
        <v>42527</v>
      </c>
      <c r="V2418" t="s">
        <v>71</v>
      </c>
      <c r="W2418" t="str">
        <f>"               40/PA"</f>
        <v xml:space="preserve">               40/PA</v>
      </c>
      <c r="X2418">
        <v>22.69</v>
      </c>
      <c r="Y2418">
        <v>0</v>
      </c>
      <c r="Z2418" s="5">
        <v>18.600000000000001</v>
      </c>
      <c r="AA2418" s="3">
        <v>240</v>
      </c>
      <c r="AB2418" s="5">
        <v>4464</v>
      </c>
      <c r="AC2418">
        <v>18.600000000000001</v>
      </c>
      <c r="AD2418">
        <v>240</v>
      </c>
      <c r="AE2418" s="1">
        <v>4464</v>
      </c>
      <c r="AF2418">
        <v>0</v>
      </c>
      <c r="AJ2418">
        <v>0</v>
      </c>
      <c r="AK2418">
        <v>0</v>
      </c>
      <c r="AL2418">
        <v>0</v>
      </c>
      <c r="AM2418">
        <v>0</v>
      </c>
      <c r="AN2418">
        <v>0</v>
      </c>
      <c r="AO2418">
        <v>0</v>
      </c>
      <c r="AP2418" s="2">
        <v>42831</v>
      </c>
      <c r="AQ2418" t="s">
        <v>72</v>
      </c>
      <c r="AR2418" t="s">
        <v>72</v>
      </c>
      <c r="AS2418">
        <v>193</v>
      </c>
      <c r="AT2418" s="4">
        <v>42767</v>
      </c>
      <c r="AU2418" t="s">
        <v>73</v>
      </c>
      <c r="AV2418">
        <v>193</v>
      </c>
      <c r="AW2418" s="4">
        <v>42767</v>
      </c>
      <c r="BD2418">
        <v>0</v>
      </c>
      <c r="BN2418" t="s">
        <v>74</v>
      </c>
    </row>
    <row r="2419" spans="1:66">
      <c r="A2419">
        <v>106701</v>
      </c>
      <c r="B2419" t="s">
        <v>509</v>
      </c>
      <c r="C2419" s="1">
        <v>43300101</v>
      </c>
      <c r="D2419" t="s">
        <v>67</v>
      </c>
      <c r="H2419" t="str">
        <f t="shared" si="313"/>
        <v>02778080644</v>
      </c>
      <c r="I2419" t="str">
        <f t="shared" si="313"/>
        <v>02778080644</v>
      </c>
      <c r="K2419" t="str">
        <f>""</f>
        <v/>
      </c>
      <c r="M2419" t="s">
        <v>68</v>
      </c>
      <c r="N2419" t="str">
        <f t="shared" si="312"/>
        <v>FOR</v>
      </c>
      <c r="O2419" t="s">
        <v>69</v>
      </c>
      <c r="P2419" t="s">
        <v>75</v>
      </c>
      <c r="Q2419">
        <v>2016</v>
      </c>
      <c r="R2419" s="4">
        <v>42464</v>
      </c>
      <c r="S2419" s="2">
        <v>42467</v>
      </c>
      <c r="T2419" s="2">
        <v>42467</v>
      </c>
      <c r="U2419" s="4">
        <v>42527</v>
      </c>
      <c r="V2419" t="s">
        <v>71</v>
      </c>
      <c r="W2419" t="str">
        <f>"               41/PA"</f>
        <v xml:space="preserve">               41/PA</v>
      </c>
      <c r="X2419">
        <v>22.69</v>
      </c>
      <c r="Y2419">
        <v>0</v>
      </c>
      <c r="Z2419" s="5">
        <v>18.600000000000001</v>
      </c>
      <c r="AA2419" s="3">
        <v>240</v>
      </c>
      <c r="AB2419" s="5">
        <v>4464</v>
      </c>
      <c r="AC2419">
        <v>18.600000000000001</v>
      </c>
      <c r="AD2419">
        <v>240</v>
      </c>
      <c r="AE2419" s="1">
        <v>4464</v>
      </c>
      <c r="AF2419">
        <v>0</v>
      </c>
      <c r="AJ2419">
        <v>0</v>
      </c>
      <c r="AK2419">
        <v>0</v>
      </c>
      <c r="AL2419">
        <v>0</v>
      </c>
      <c r="AM2419">
        <v>0</v>
      </c>
      <c r="AN2419">
        <v>0</v>
      </c>
      <c r="AO2419">
        <v>0</v>
      </c>
      <c r="AP2419" s="2">
        <v>42831</v>
      </c>
      <c r="AQ2419" t="s">
        <v>72</v>
      </c>
      <c r="AR2419" t="s">
        <v>72</v>
      </c>
      <c r="AS2419">
        <v>193</v>
      </c>
      <c r="AT2419" s="4">
        <v>42767</v>
      </c>
      <c r="AU2419" t="s">
        <v>73</v>
      </c>
      <c r="AV2419">
        <v>193</v>
      </c>
      <c r="AW2419" s="4">
        <v>42767</v>
      </c>
      <c r="BD2419">
        <v>0</v>
      </c>
      <c r="BN2419" t="s">
        <v>74</v>
      </c>
    </row>
    <row r="2420" spans="1:66">
      <c r="A2420">
        <v>106701</v>
      </c>
      <c r="B2420" t="s">
        <v>509</v>
      </c>
      <c r="C2420" s="1">
        <v>43300101</v>
      </c>
      <c r="D2420" t="s">
        <v>67</v>
      </c>
      <c r="H2420" t="str">
        <f t="shared" si="313"/>
        <v>02778080644</v>
      </c>
      <c r="I2420" t="str">
        <f t="shared" si="313"/>
        <v>02778080644</v>
      </c>
      <c r="K2420" t="str">
        <f>""</f>
        <v/>
      </c>
      <c r="M2420" t="s">
        <v>68</v>
      </c>
      <c r="N2420" t="str">
        <f t="shared" si="312"/>
        <v>FOR</v>
      </c>
      <c r="O2420" t="s">
        <v>69</v>
      </c>
      <c r="P2420" t="s">
        <v>75</v>
      </c>
      <c r="Q2420">
        <v>2016</v>
      </c>
      <c r="R2420" s="4">
        <v>42517</v>
      </c>
      <c r="S2420" s="2">
        <v>42520</v>
      </c>
      <c r="T2420" s="2">
        <v>42517</v>
      </c>
      <c r="U2420" s="4">
        <v>42577</v>
      </c>
      <c r="V2420" t="s">
        <v>71</v>
      </c>
      <c r="W2420" t="str">
        <f>"               80/PA"</f>
        <v xml:space="preserve">               80/PA</v>
      </c>
      <c r="X2420">
        <v>756.4</v>
      </c>
      <c r="Y2420">
        <v>0</v>
      </c>
      <c r="Z2420" s="5">
        <v>620</v>
      </c>
      <c r="AA2420" s="3">
        <v>190</v>
      </c>
      <c r="AB2420" s="5">
        <v>117800</v>
      </c>
      <c r="AC2420">
        <v>620</v>
      </c>
      <c r="AD2420">
        <v>190</v>
      </c>
      <c r="AE2420" s="1">
        <v>117800</v>
      </c>
      <c r="AF2420">
        <v>0</v>
      </c>
      <c r="AJ2420">
        <v>0</v>
      </c>
      <c r="AK2420">
        <v>0</v>
      </c>
      <c r="AL2420">
        <v>0</v>
      </c>
      <c r="AM2420">
        <v>0</v>
      </c>
      <c r="AN2420">
        <v>0</v>
      </c>
      <c r="AO2420">
        <v>0</v>
      </c>
      <c r="AP2420" s="2">
        <v>42831</v>
      </c>
      <c r="AQ2420" t="s">
        <v>72</v>
      </c>
      <c r="AR2420" t="s">
        <v>72</v>
      </c>
      <c r="AS2420">
        <v>193</v>
      </c>
      <c r="AT2420" s="4">
        <v>42767</v>
      </c>
      <c r="AU2420" t="s">
        <v>73</v>
      </c>
      <c r="AV2420">
        <v>193</v>
      </c>
      <c r="AW2420" s="4">
        <v>42767</v>
      </c>
      <c r="BD2420">
        <v>0</v>
      </c>
      <c r="BN2420" t="s">
        <v>74</v>
      </c>
    </row>
    <row r="2421" spans="1:66">
      <c r="A2421">
        <v>106701</v>
      </c>
      <c r="B2421" t="s">
        <v>509</v>
      </c>
      <c r="C2421" s="1">
        <v>43300101</v>
      </c>
      <c r="D2421" t="s">
        <v>67</v>
      </c>
      <c r="H2421" t="str">
        <f t="shared" si="313"/>
        <v>02778080644</v>
      </c>
      <c r="I2421" t="str">
        <f t="shared" si="313"/>
        <v>02778080644</v>
      </c>
      <c r="K2421" t="str">
        <f>""</f>
        <v/>
      </c>
      <c r="M2421" t="s">
        <v>68</v>
      </c>
      <c r="N2421" t="str">
        <f t="shared" si="312"/>
        <v>FOR</v>
      </c>
      <c r="O2421" t="s">
        <v>69</v>
      </c>
      <c r="P2421" t="s">
        <v>75</v>
      </c>
      <c r="Q2421">
        <v>2016</v>
      </c>
      <c r="R2421" s="4">
        <v>42517</v>
      </c>
      <c r="S2421" s="2">
        <v>42520</v>
      </c>
      <c r="T2421" s="2">
        <v>42517</v>
      </c>
      <c r="U2421" s="4">
        <v>42577</v>
      </c>
      <c r="V2421" t="s">
        <v>71</v>
      </c>
      <c r="W2421" t="str">
        <f>"               81/PA"</f>
        <v xml:space="preserve">               81/PA</v>
      </c>
      <c r="X2421">
        <v>94.55</v>
      </c>
      <c r="Y2421">
        <v>0</v>
      </c>
      <c r="Z2421" s="5">
        <v>77.5</v>
      </c>
      <c r="AA2421" s="3">
        <v>190</v>
      </c>
      <c r="AB2421" s="5">
        <v>14725</v>
      </c>
      <c r="AC2421">
        <v>77.5</v>
      </c>
      <c r="AD2421">
        <v>190</v>
      </c>
      <c r="AE2421" s="1">
        <v>14725</v>
      </c>
      <c r="AF2421">
        <v>0</v>
      </c>
      <c r="AJ2421">
        <v>0</v>
      </c>
      <c r="AK2421">
        <v>0</v>
      </c>
      <c r="AL2421">
        <v>0</v>
      </c>
      <c r="AM2421">
        <v>0</v>
      </c>
      <c r="AN2421">
        <v>0</v>
      </c>
      <c r="AO2421">
        <v>0</v>
      </c>
      <c r="AP2421" s="2">
        <v>42831</v>
      </c>
      <c r="AQ2421" t="s">
        <v>72</v>
      </c>
      <c r="AR2421" t="s">
        <v>72</v>
      </c>
      <c r="AS2421">
        <v>193</v>
      </c>
      <c r="AT2421" s="4">
        <v>42767</v>
      </c>
      <c r="AU2421" t="s">
        <v>73</v>
      </c>
      <c r="AV2421">
        <v>193</v>
      </c>
      <c r="AW2421" s="4">
        <v>42767</v>
      </c>
      <c r="BD2421">
        <v>0</v>
      </c>
      <c r="BN2421" t="s">
        <v>74</v>
      </c>
    </row>
    <row r="2422" spans="1:66">
      <c r="A2422">
        <v>106701</v>
      </c>
      <c r="B2422" t="s">
        <v>509</v>
      </c>
      <c r="C2422" s="1">
        <v>43300101</v>
      </c>
      <c r="D2422" t="s">
        <v>67</v>
      </c>
      <c r="H2422" t="str">
        <f t="shared" si="313"/>
        <v>02778080644</v>
      </c>
      <c r="I2422" t="str">
        <f t="shared" si="313"/>
        <v>02778080644</v>
      </c>
      <c r="K2422" t="str">
        <f>""</f>
        <v/>
      </c>
      <c r="M2422" t="s">
        <v>68</v>
      </c>
      <c r="N2422" t="str">
        <f t="shared" si="312"/>
        <v>FOR</v>
      </c>
      <c r="O2422" t="s">
        <v>69</v>
      </c>
      <c r="P2422" t="s">
        <v>75</v>
      </c>
      <c r="Q2422">
        <v>2016</v>
      </c>
      <c r="R2422" s="4">
        <v>42551</v>
      </c>
      <c r="S2422" s="2">
        <v>42552</v>
      </c>
      <c r="T2422" s="2">
        <v>42551</v>
      </c>
      <c r="U2422" s="4">
        <v>42611</v>
      </c>
      <c r="V2422" t="s">
        <v>71</v>
      </c>
      <c r="W2422" t="str">
        <f>"              108/PA"</f>
        <v xml:space="preserve">              108/PA</v>
      </c>
      <c r="X2422">
        <v>91.5</v>
      </c>
      <c r="Y2422">
        <v>0</v>
      </c>
      <c r="Z2422" s="5">
        <v>75</v>
      </c>
      <c r="AA2422" s="3">
        <v>156</v>
      </c>
      <c r="AB2422" s="5">
        <v>11700</v>
      </c>
      <c r="AC2422">
        <v>75</v>
      </c>
      <c r="AD2422">
        <v>156</v>
      </c>
      <c r="AE2422" s="1">
        <v>11700</v>
      </c>
      <c r="AF2422">
        <v>0</v>
      </c>
      <c r="AJ2422">
        <v>0</v>
      </c>
      <c r="AK2422">
        <v>0</v>
      </c>
      <c r="AL2422">
        <v>0</v>
      </c>
      <c r="AM2422">
        <v>0</v>
      </c>
      <c r="AN2422">
        <v>0</v>
      </c>
      <c r="AO2422">
        <v>0</v>
      </c>
      <c r="AP2422" s="2">
        <v>42831</v>
      </c>
      <c r="AQ2422" t="s">
        <v>72</v>
      </c>
      <c r="AR2422" t="s">
        <v>72</v>
      </c>
      <c r="AS2422">
        <v>193</v>
      </c>
      <c r="AT2422" s="4">
        <v>42767</v>
      </c>
      <c r="AU2422" t="s">
        <v>73</v>
      </c>
      <c r="AV2422">
        <v>193</v>
      </c>
      <c r="AW2422" s="4">
        <v>42767</v>
      </c>
      <c r="BD2422">
        <v>0</v>
      </c>
      <c r="BN2422" t="s">
        <v>74</v>
      </c>
    </row>
    <row r="2423" spans="1:66">
      <c r="A2423">
        <v>106701</v>
      </c>
      <c r="B2423" t="s">
        <v>509</v>
      </c>
      <c r="C2423" s="1">
        <v>43300101</v>
      </c>
      <c r="D2423" t="s">
        <v>67</v>
      </c>
      <c r="H2423" t="str">
        <f t="shared" si="313"/>
        <v>02778080644</v>
      </c>
      <c r="I2423" t="str">
        <f t="shared" si="313"/>
        <v>02778080644</v>
      </c>
      <c r="K2423" t="str">
        <f>""</f>
        <v/>
      </c>
      <c r="M2423" t="s">
        <v>68</v>
      </c>
      <c r="N2423" t="str">
        <f t="shared" si="312"/>
        <v>FOR</v>
      </c>
      <c r="O2423" t="s">
        <v>69</v>
      </c>
      <c r="P2423" t="s">
        <v>75</v>
      </c>
      <c r="Q2423">
        <v>2016</v>
      </c>
      <c r="R2423" s="4">
        <v>42551</v>
      </c>
      <c r="S2423" s="2">
        <v>42552</v>
      </c>
      <c r="T2423" s="2">
        <v>42551</v>
      </c>
      <c r="U2423" s="4">
        <v>42611</v>
      </c>
      <c r="V2423" t="s">
        <v>71</v>
      </c>
      <c r="W2423" t="str">
        <f>"              109/PA"</f>
        <v xml:space="preserve">              109/PA</v>
      </c>
      <c r="X2423">
        <v>181.78</v>
      </c>
      <c r="Y2423">
        <v>0</v>
      </c>
      <c r="Z2423" s="5">
        <v>149</v>
      </c>
      <c r="AA2423" s="3">
        <v>156</v>
      </c>
      <c r="AB2423" s="5">
        <v>23244</v>
      </c>
      <c r="AC2423">
        <v>149</v>
      </c>
      <c r="AD2423">
        <v>156</v>
      </c>
      <c r="AE2423" s="1">
        <v>23244</v>
      </c>
      <c r="AF2423">
        <v>0</v>
      </c>
      <c r="AJ2423">
        <v>0</v>
      </c>
      <c r="AK2423">
        <v>0</v>
      </c>
      <c r="AL2423">
        <v>0</v>
      </c>
      <c r="AM2423">
        <v>0</v>
      </c>
      <c r="AN2423">
        <v>0</v>
      </c>
      <c r="AO2423">
        <v>0</v>
      </c>
      <c r="AP2423" s="2">
        <v>42831</v>
      </c>
      <c r="AQ2423" t="s">
        <v>72</v>
      </c>
      <c r="AR2423" t="s">
        <v>72</v>
      </c>
      <c r="AS2423">
        <v>193</v>
      </c>
      <c r="AT2423" s="4">
        <v>42767</v>
      </c>
      <c r="AU2423" t="s">
        <v>73</v>
      </c>
      <c r="AV2423">
        <v>193</v>
      </c>
      <c r="AW2423" s="4">
        <v>42767</v>
      </c>
      <c r="BD2423">
        <v>0</v>
      </c>
      <c r="BN2423" t="s">
        <v>74</v>
      </c>
    </row>
    <row r="2424" spans="1:66">
      <c r="A2424">
        <v>106701</v>
      </c>
      <c r="B2424" t="s">
        <v>509</v>
      </c>
      <c r="C2424" s="1">
        <v>43300101</v>
      </c>
      <c r="D2424" t="s">
        <v>67</v>
      </c>
      <c r="H2424" t="str">
        <f t="shared" si="313"/>
        <v>02778080644</v>
      </c>
      <c r="I2424" t="str">
        <f t="shared" si="313"/>
        <v>02778080644</v>
      </c>
      <c r="K2424" t="str">
        <f>""</f>
        <v/>
      </c>
      <c r="M2424" t="s">
        <v>68</v>
      </c>
      <c r="N2424" t="str">
        <f t="shared" si="312"/>
        <v>FOR</v>
      </c>
      <c r="O2424" t="s">
        <v>69</v>
      </c>
      <c r="P2424" t="s">
        <v>75</v>
      </c>
      <c r="Q2424">
        <v>2016</v>
      </c>
      <c r="R2424" s="4">
        <v>42609</v>
      </c>
      <c r="S2424" s="2">
        <v>42612</v>
      </c>
      <c r="T2424" s="2">
        <v>42609</v>
      </c>
      <c r="U2424" s="4">
        <v>42669</v>
      </c>
      <c r="V2424" t="s">
        <v>71</v>
      </c>
      <c r="W2424" t="str">
        <f>"              127/PA"</f>
        <v xml:space="preserve">              127/PA</v>
      </c>
      <c r="X2424" s="1">
        <v>1288.32</v>
      </c>
      <c r="Y2424">
        <v>0</v>
      </c>
      <c r="Z2424" s="5">
        <v>1056</v>
      </c>
      <c r="AA2424" s="3">
        <v>98</v>
      </c>
      <c r="AB2424" s="5">
        <v>103488</v>
      </c>
      <c r="AC2424" s="1">
        <v>1056</v>
      </c>
      <c r="AD2424">
        <v>98</v>
      </c>
      <c r="AE2424" s="1">
        <v>103488</v>
      </c>
      <c r="AF2424">
        <v>0</v>
      </c>
      <c r="AJ2424">
        <v>0</v>
      </c>
      <c r="AK2424">
        <v>0</v>
      </c>
      <c r="AL2424">
        <v>0</v>
      </c>
      <c r="AM2424">
        <v>0</v>
      </c>
      <c r="AN2424">
        <v>0</v>
      </c>
      <c r="AO2424">
        <v>0</v>
      </c>
      <c r="AP2424" s="2">
        <v>42831</v>
      </c>
      <c r="AQ2424" t="s">
        <v>72</v>
      </c>
      <c r="AR2424" t="s">
        <v>72</v>
      </c>
      <c r="AS2424">
        <v>193</v>
      </c>
      <c r="AT2424" s="4">
        <v>42767</v>
      </c>
      <c r="AU2424" t="s">
        <v>73</v>
      </c>
      <c r="AV2424">
        <v>193</v>
      </c>
      <c r="AW2424" s="4">
        <v>42767</v>
      </c>
      <c r="BD2424">
        <v>0</v>
      </c>
      <c r="BN2424" t="s">
        <v>74</v>
      </c>
    </row>
    <row r="2425" spans="1:66">
      <c r="A2425">
        <v>106701</v>
      </c>
      <c r="B2425" t="s">
        <v>509</v>
      </c>
      <c r="C2425" s="1">
        <v>43300101</v>
      </c>
      <c r="D2425" t="s">
        <v>67</v>
      </c>
      <c r="H2425" t="str">
        <f t="shared" si="313"/>
        <v>02778080644</v>
      </c>
      <c r="I2425" t="str">
        <f t="shared" si="313"/>
        <v>02778080644</v>
      </c>
      <c r="K2425" t="str">
        <f>""</f>
        <v/>
      </c>
      <c r="M2425" t="s">
        <v>68</v>
      </c>
      <c r="N2425" t="str">
        <f t="shared" si="312"/>
        <v>FOR</v>
      </c>
      <c r="O2425" t="s">
        <v>69</v>
      </c>
      <c r="P2425" t="s">
        <v>75</v>
      </c>
      <c r="Q2425">
        <v>2016</v>
      </c>
      <c r="R2425" s="4">
        <v>42663</v>
      </c>
      <c r="S2425" s="2">
        <v>42664</v>
      </c>
      <c r="T2425" s="2">
        <v>42663</v>
      </c>
      <c r="U2425" s="4">
        <v>42723</v>
      </c>
      <c r="V2425" t="s">
        <v>71</v>
      </c>
      <c r="W2425" t="str">
        <f>"              159/PA"</f>
        <v xml:space="preserve">              159/PA</v>
      </c>
      <c r="X2425">
        <v>151.28</v>
      </c>
      <c r="Y2425">
        <v>0</v>
      </c>
      <c r="Z2425" s="5">
        <v>124</v>
      </c>
      <c r="AA2425" s="3">
        <v>44</v>
      </c>
      <c r="AB2425" s="5">
        <v>5456</v>
      </c>
      <c r="AC2425">
        <v>124</v>
      </c>
      <c r="AD2425">
        <v>44</v>
      </c>
      <c r="AE2425" s="1">
        <v>5456</v>
      </c>
      <c r="AF2425">
        <v>0</v>
      </c>
      <c r="AJ2425">
        <v>0</v>
      </c>
      <c r="AK2425">
        <v>0</v>
      </c>
      <c r="AL2425">
        <v>0</v>
      </c>
      <c r="AM2425">
        <v>0</v>
      </c>
      <c r="AN2425">
        <v>0</v>
      </c>
      <c r="AO2425">
        <v>0</v>
      </c>
      <c r="AP2425" s="2">
        <v>42831</v>
      </c>
      <c r="AQ2425" t="s">
        <v>72</v>
      </c>
      <c r="AR2425" t="s">
        <v>72</v>
      </c>
      <c r="AS2425">
        <v>193</v>
      </c>
      <c r="AT2425" s="4">
        <v>42767</v>
      </c>
      <c r="AU2425" t="s">
        <v>73</v>
      </c>
      <c r="AV2425">
        <v>193</v>
      </c>
      <c r="AW2425" s="4">
        <v>42767</v>
      </c>
      <c r="BD2425">
        <v>0</v>
      </c>
      <c r="BN2425" t="s">
        <v>74</v>
      </c>
    </row>
    <row r="2426" spans="1:66">
      <c r="A2426">
        <v>106701</v>
      </c>
      <c r="B2426" t="s">
        <v>509</v>
      </c>
      <c r="C2426" s="1">
        <v>43300101</v>
      </c>
      <c r="D2426" t="s">
        <v>67</v>
      </c>
      <c r="H2426" t="str">
        <f t="shared" si="313"/>
        <v>02778080644</v>
      </c>
      <c r="I2426" t="str">
        <f t="shared" si="313"/>
        <v>02778080644</v>
      </c>
      <c r="K2426" t="str">
        <f>""</f>
        <v/>
      </c>
      <c r="M2426" t="s">
        <v>68</v>
      </c>
      <c r="N2426" t="str">
        <f t="shared" si="312"/>
        <v>FOR</v>
      </c>
      <c r="O2426" t="s">
        <v>69</v>
      </c>
      <c r="P2426" t="s">
        <v>75</v>
      </c>
      <c r="Q2426">
        <v>2016</v>
      </c>
      <c r="R2426" s="4">
        <v>42696</v>
      </c>
      <c r="S2426" s="2">
        <v>42702</v>
      </c>
      <c r="T2426" s="2">
        <v>42696</v>
      </c>
      <c r="U2426" s="4">
        <v>42756</v>
      </c>
      <c r="V2426" t="s">
        <v>71</v>
      </c>
      <c r="W2426" t="str">
        <f>"              186/PA"</f>
        <v xml:space="preserve">              186/PA</v>
      </c>
      <c r="X2426">
        <v>378.2</v>
      </c>
      <c r="Y2426">
        <v>0</v>
      </c>
      <c r="Z2426" s="5">
        <v>310</v>
      </c>
      <c r="AA2426" s="3">
        <v>11</v>
      </c>
      <c r="AB2426" s="5">
        <v>3410</v>
      </c>
      <c r="AC2426">
        <v>310</v>
      </c>
      <c r="AD2426">
        <v>11</v>
      </c>
      <c r="AE2426" s="1">
        <v>3410</v>
      </c>
      <c r="AF2426">
        <v>0</v>
      </c>
      <c r="AJ2426">
        <v>0</v>
      </c>
      <c r="AK2426">
        <v>0</v>
      </c>
      <c r="AL2426">
        <v>0</v>
      </c>
      <c r="AM2426">
        <v>0</v>
      </c>
      <c r="AN2426">
        <v>0</v>
      </c>
      <c r="AO2426">
        <v>0</v>
      </c>
      <c r="AP2426" s="2">
        <v>42831</v>
      </c>
      <c r="AQ2426" t="s">
        <v>72</v>
      </c>
      <c r="AR2426" t="s">
        <v>72</v>
      </c>
      <c r="AS2426">
        <v>193</v>
      </c>
      <c r="AT2426" s="4">
        <v>42767</v>
      </c>
      <c r="AU2426" t="s">
        <v>73</v>
      </c>
      <c r="AV2426">
        <v>193</v>
      </c>
      <c r="AW2426" s="4">
        <v>42767</v>
      </c>
      <c r="BD2426">
        <v>0</v>
      </c>
      <c r="BN2426" t="s">
        <v>74</v>
      </c>
    </row>
    <row r="2427" spans="1:66">
      <c r="A2427">
        <v>106701</v>
      </c>
      <c r="B2427" t="s">
        <v>509</v>
      </c>
      <c r="C2427" s="1">
        <v>43300101</v>
      </c>
      <c r="D2427" t="s">
        <v>67</v>
      </c>
      <c r="H2427" t="str">
        <f t="shared" si="313"/>
        <v>02778080644</v>
      </c>
      <c r="I2427" t="str">
        <f t="shared" si="313"/>
        <v>02778080644</v>
      </c>
      <c r="K2427" t="str">
        <f>""</f>
        <v/>
      </c>
      <c r="M2427" t="s">
        <v>68</v>
      </c>
      <c r="N2427" t="str">
        <f t="shared" si="312"/>
        <v>FOR</v>
      </c>
      <c r="O2427" t="s">
        <v>69</v>
      </c>
      <c r="P2427" t="s">
        <v>75</v>
      </c>
      <c r="Q2427">
        <v>2016</v>
      </c>
      <c r="R2427" s="4">
        <v>42696</v>
      </c>
      <c r="S2427" s="2">
        <v>42702</v>
      </c>
      <c r="T2427" s="2">
        <v>42696</v>
      </c>
      <c r="U2427" s="4">
        <v>42756</v>
      </c>
      <c r="V2427" t="s">
        <v>71</v>
      </c>
      <c r="W2427" t="str">
        <f>"              187/PA"</f>
        <v xml:space="preserve">              187/PA</v>
      </c>
      <c r="X2427">
        <v>122</v>
      </c>
      <c r="Y2427">
        <v>0</v>
      </c>
      <c r="Z2427" s="5">
        <v>100</v>
      </c>
      <c r="AA2427" s="3">
        <v>11</v>
      </c>
      <c r="AB2427" s="5">
        <v>1100</v>
      </c>
      <c r="AC2427">
        <v>100</v>
      </c>
      <c r="AD2427">
        <v>11</v>
      </c>
      <c r="AE2427" s="1">
        <v>1100</v>
      </c>
      <c r="AF2427">
        <v>0</v>
      </c>
      <c r="AJ2427">
        <v>0</v>
      </c>
      <c r="AK2427">
        <v>0</v>
      </c>
      <c r="AL2427">
        <v>0</v>
      </c>
      <c r="AM2427">
        <v>0</v>
      </c>
      <c r="AN2427">
        <v>0</v>
      </c>
      <c r="AO2427">
        <v>0</v>
      </c>
      <c r="AP2427" s="2">
        <v>42831</v>
      </c>
      <c r="AQ2427" t="s">
        <v>72</v>
      </c>
      <c r="AR2427" t="s">
        <v>72</v>
      </c>
      <c r="AS2427">
        <v>193</v>
      </c>
      <c r="AT2427" s="4">
        <v>42767</v>
      </c>
      <c r="AU2427" t="s">
        <v>73</v>
      </c>
      <c r="AV2427">
        <v>193</v>
      </c>
      <c r="AW2427" s="4">
        <v>42767</v>
      </c>
      <c r="BD2427">
        <v>0</v>
      </c>
      <c r="BN2427" t="s">
        <v>74</v>
      </c>
    </row>
    <row r="2428" spans="1:66">
      <c r="A2428">
        <v>106701</v>
      </c>
      <c r="B2428" t="s">
        <v>509</v>
      </c>
      <c r="C2428" s="1">
        <v>43300101</v>
      </c>
      <c r="D2428" t="s">
        <v>67</v>
      </c>
      <c r="H2428" t="str">
        <f t="shared" si="313"/>
        <v>02778080644</v>
      </c>
      <c r="I2428" t="str">
        <f t="shared" si="313"/>
        <v>02778080644</v>
      </c>
      <c r="K2428" t="str">
        <f>""</f>
        <v/>
      </c>
      <c r="M2428" t="s">
        <v>68</v>
      </c>
      <c r="N2428" t="str">
        <f t="shared" si="312"/>
        <v>FOR</v>
      </c>
      <c r="O2428" t="s">
        <v>69</v>
      </c>
      <c r="P2428" t="s">
        <v>75</v>
      </c>
      <c r="Q2428">
        <v>2016</v>
      </c>
      <c r="R2428" s="4">
        <v>42706</v>
      </c>
      <c r="S2428" s="2">
        <v>42709</v>
      </c>
      <c r="T2428" s="2">
        <v>42706</v>
      </c>
      <c r="U2428" s="4">
        <v>42766</v>
      </c>
      <c r="V2428" t="s">
        <v>71</v>
      </c>
      <c r="W2428" t="str">
        <f>"              195/PA"</f>
        <v xml:space="preserve">              195/PA</v>
      </c>
      <c r="X2428">
        <v>340.38</v>
      </c>
      <c r="Y2428">
        <v>0</v>
      </c>
      <c r="Z2428" s="5">
        <v>279</v>
      </c>
      <c r="AA2428" s="3">
        <v>1</v>
      </c>
      <c r="AB2428" s="3">
        <v>279</v>
      </c>
      <c r="AC2428">
        <v>279</v>
      </c>
      <c r="AD2428">
        <v>1</v>
      </c>
      <c r="AE2428">
        <v>279</v>
      </c>
      <c r="AF2428">
        <v>0</v>
      </c>
      <c r="AJ2428">
        <v>0</v>
      </c>
      <c r="AK2428">
        <v>0</v>
      </c>
      <c r="AL2428">
        <v>0</v>
      </c>
      <c r="AM2428">
        <v>0</v>
      </c>
      <c r="AN2428">
        <v>0</v>
      </c>
      <c r="AO2428">
        <v>0</v>
      </c>
      <c r="AP2428" s="2">
        <v>42831</v>
      </c>
      <c r="AQ2428" t="s">
        <v>72</v>
      </c>
      <c r="AR2428" t="s">
        <v>72</v>
      </c>
      <c r="AS2428">
        <v>193</v>
      </c>
      <c r="AT2428" s="4">
        <v>42767</v>
      </c>
      <c r="AU2428" t="s">
        <v>73</v>
      </c>
      <c r="AV2428">
        <v>193</v>
      </c>
      <c r="AW2428" s="4">
        <v>42767</v>
      </c>
      <c r="BD2428">
        <v>0</v>
      </c>
      <c r="BN2428" t="s">
        <v>74</v>
      </c>
    </row>
    <row r="2429" spans="1:66">
      <c r="A2429">
        <v>106701</v>
      </c>
      <c r="B2429" t="s">
        <v>509</v>
      </c>
      <c r="C2429" s="1">
        <v>43300101</v>
      </c>
      <c r="D2429" t="s">
        <v>67</v>
      </c>
      <c r="H2429" t="str">
        <f t="shared" si="313"/>
        <v>02778080644</v>
      </c>
      <c r="I2429" t="str">
        <f t="shared" si="313"/>
        <v>02778080644</v>
      </c>
      <c r="K2429" t="str">
        <f>""</f>
        <v/>
      </c>
      <c r="M2429" t="s">
        <v>68</v>
      </c>
      <c r="N2429" t="str">
        <f t="shared" si="312"/>
        <v>FOR</v>
      </c>
      <c r="O2429" t="s">
        <v>69</v>
      </c>
      <c r="P2429" t="s">
        <v>75</v>
      </c>
      <c r="Q2429">
        <v>2017</v>
      </c>
      <c r="R2429" s="4">
        <v>42780</v>
      </c>
      <c r="S2429" s="2">
        <v>42781</v>
      </c>
      <c r="T2429" s="2">
        <v>42780</v>
      </c>
      <c r="U2429" s="4">
        <v>42840</v>
      </c>
      <c r="V2429" t="s">
        <v>71</v>
      </c>
      <c r="W2429" t="str">
        <f>"               22/PA"</f>
        <v xml:space="preserve">               22/PA</v>
      </c>
      <c r="X2429">
        <v>22.69</v>
      </c>
      <c r="Y2429">
        <v>0</v>
      </c>
      <c r="Z2429" s="5">
        <v>18.600000000000001</v>
      </c>
      <c r="AA2429" s="3">
        <v>-43</v>
      </c>
      <c r="AB2429" s="3">
        <v>-799.8</v>
      </c>
      <c r="AC2429">
        <v>18.600000000000001</v>
      </c>
      <c r="AD2429">
        <v>-43</v>
      </c>
      <c r="AE2429">
        <v>-799.8</v>
      </c>
      <c r="AF2429">
        <v>4.09</v>
      </c>
      <c r="AJ2429">
        <v>22.69</v>
      </c>
      <c r="AK2429">
        <v>22.69</v>
      </c>
      <c r="AL2429">
        <v>22.69</v>
      </c>
      <c r="AM2429">
        <v>22.69</v>
      </c>
      <c r="AN2429">
        <v>22.69</v>
      </c>
      <c r="AO2429">
        <v>22.69</v>
      </c>
      <c r="AP2429" s="2">
        <v>42831</v>
      </c>
      <c r="AQ2429" t="s">
        <v>72</v>
      </c>
      <c r="AR2429" t="s">
        <v>72</v>
      </c>
      <c r="AS2429">
        <v>701</v>
      </c>
      <c r="AT2429" s="4">
        <v>42797</v>
      </c>
      <c r="AV2429">
        <v>701</v>
      </c>
      <c r="AW2429" s="4">
        <v>42797</v>
      </c>
      <c r="BD2429">
        <v>0</v>
      </c>
      <c r="BF2429">
        <v>4.09</v>
      </c>
      <c r="BN2429" t="s">
        <v>74</v>
      </c>
    </row>
    <row r="2430" spans="1:66">
      <c r="A2430">
        <v>106701</v>
      </c>
      <c r="B2430" t="s">
        <v>509</v>
      </c>
      <c r="C2430" s="1">
        <v>43300101</v>
      </c>
      <c r="D2430" t="s">
        <v>67</v>
      </c>
      <c r="H2430" t="str">
        <f t="shared" si="313"/>
        <v>02778080644</v>
      </c>
      <c r="I2430" t="str">
        <f t="shared" si="313"/>
        <v>02778080644</v>
      </c>
      <c r="K2430" t="str">
        <f>""</f>
        <v/>
      </c>
      <c r="M2430" t="s">
        <v>68</v>
      </c>
      <c r="N2430" t="str">
        <f t="shared" si="312"/>
        <v>FOR</v>
      </c>
      <c r="O2430" t="s">
        <v>69</v>
      </c>
      <c r="P2430" t="s">
        <v>75</v>
      </c>
      <c r="Q2430">
        <v>2017</v>
      </c>
      <c r="R2430" s="4">
        <v>42791</v>
      </c>
      <c r="S2430" s="2">
        <v>42794</v>
      </c>
      <c r="T2430" s="2">
        <v>42791</v>
      </c>
      <c r="U2430" s="4">
        <v>42851</v>
      </c>
      <c r="V2430" t="s">
        <v>71</v>
      </c>
      <c r="W2430" t="str">
        <f>"               34/PA"</f>
        <v xml:space="preserve">               34/PA</v>
      </c>
      <c r="X2430">
        <v>756.4</v>
      </c>
      <c r="Y2430">
        <v>0</v>
      </c>
      <c r="Z2430" s="5">
        <v>620</v>
      </c>
      <c r="AA2430" s="3">
        <v>-54</v>
      </c>
      <c r="AB2430" s="5">
        <v>-33480</v>
      </c>
      <c r="AC2430">
        <v>620</v>
      </c>
      <c r="AD2430">
        <v>-54</v>
      </c>
      <c r="AE2430" s="1">
        <v>-33480</v>
      </c>
      <c r="AF2430">
        <v>136.4</v>
      </c>
      <c r="AJ2430">
        <v>756.4</v>
      </c>
      <c r="AK2430">
        <v>756.4</v>
      </c>
      <c r="AL2430">
        <v>756.4</v>
      </c>
      <c r="AM2430">
        <v>756.4</v>
      </c>
      <c r="AN2430">
        <v>756.4</v>
      </c>
      <c r="AO2430">
        <v>756.4</v>
      </c>
      <c r="AP2430" s="2">
        <v>42831</v>
      </c>
      <c r="AQ2430" t="s">
        <v>72</v>
      </c>
      <c r="AR2430" t="s">
        <v>72</v>
      </c>
      <c r="AS2430">
        <v>701</v>
      </c>
      <c r="AT2430" s="4">
        <v>42797</v>
      </c>
      <c r="AV2430">
        <v>701</v>
      </c>
      <c r="AW2430" s="4">
        <v>42797</v>
      </c>
      <c r="BD2430">
        <v>0</v>
      </c>
      <c r="BF2430">
        <v>136.4</v>
      </c>
      <c r="BN2430" t="s">
        <v>74</v>
      </c>
    </row>
    <row r="2431" spans="1:66">
      <c r="A2431">
        <v>106704</v>
      </c>
      <c r="B2431" t="s">
        <v>510</v>
      </c>
      <c r="C2431" s="1">
        <v>43300101</v>
      </c>
      <c r="D2431" t="s">
        <v>67</v>
      </c>
      <c r="H2431" t="str">
        <f>"01608400626"</f>
        <v>01608400626</v>
      </c>
      <c r="I2431" t="str">
        <f>"01608400626"</f>
        <v>01608400626</v>
      </c>
      <c r="K2431" t="str">
        <f>""</f>
        <v/>
      </c>
      <c r="M2431" t="s">
        <v>68</v>
      </c>
      <c r="N2431" t="str">
        <f t="shared" si="312"/>
        <v>FOR</v>
      </c>
      <c r="O2431" t="s">
        <v>69</v>
      </c>
      <c r="P2431" t="s">
        <v>75</v>
      </c>
      <c r="Q2431">
        <v>2016</v>
      </c>
      <c r="R2431" s="4">
        <v>42704</v>
      </c>
      <c r="S2431" s="2">
        <v>42711</v>
      </c>
      <c r="T2431" s="2">
        <v>42711</v>
      </c>
      <c r="U2431" s="4">
        <v>42771</v>
      </c>
      <c r="V2431" t="s">
        <v>71</v>
      </c>
      <c r="W2431" t="str">
        <f>"               FE/57"</f>
        <v xml:space="preserve">               FE/57</v>
      </c>
      <c r="X2431">
        <v>428.57</v>
      </c>
      <c r="Y2431">
        <v>0</v>
      </c>
      <c r="Z2431" s="5">
        <v>351.29</v>
      </c>
      <c r="AA2431" s="3">
        <v>24</v>
      </c>
      <c r="AB2431" s="5">
        <v>8430.9599999999991</v>
      </c>
      <c r="AC2431">
        <v>351.29</v>
      </c>
      <c r="AD2431">
        <v>24</v>
      </c>
      <c r="AE2431" s="1">
        <v>8430.9599999999991</v>
      </c>
      <c r="AF2431">
        <v>77.28</v>
      </c>
      <c r="AJ2431">
        <v>0</v>
      </c>
      <c r="AK2431">
        <v>0</v>
      </c>
      <c r="AL2431">
        <v>0</v>
      </c>
      <c r="AM2431">
        <v>0</v>
      </c>
      <c r="AN2431">
        <v>0</v>
      </c>
      <c r="AO2431">
        <v>0</v>
      </c>
      <c r="AP2431" s="2">
        <v>42831</v>
      </c>
      <c r="AQ2431" t="s">
        <v>72</v>
      </c>
      <c r="AR2431" t="s">
        <v>72</v>
      </c>
      <c r="AS2431">
        <v>658</v>
      </c>
      <c r="AT2431" s="4">
        <v>42795</v>
      </c>
      <c r="AU2431" t="s">
        <v>73</v>
      </c>
      <c r="AV2431">
        <v>658</v>
      </c>
      <c r="AW2431" s="4">
        <v>42795</v>
      </c>
      <c r="AY2431">
        <v>77.28</v>
      </c>
      <c r="BD2431">
        <v>0</v>
      </c>
      <c r="BN2431" t="s">
        <v>74</v>
      </c>
    </row>
    <row r="2432" spans="1:66">
      <c r="A2432">
        <v>106705</v>
      </c>
      <c r="B2432" t="s">
        <v>511</v>
      </c>
      <c r="C2432" s="1">
        <v>43300101</v>
      </c>
      <c r="D2432" t="s">
        <v>67</v>
      </c>
      <c r="H2432" t="str">
        <f>""</f>
        <v/>
      </c>
      <c r="I2432" t="str">
        <f>"08227521211"</f>
        <v>08227521211</v>
      </c>
      <c r="K2432" t="str">
        <f>""</f>
        <v/>
      </c>
      <c r="M2432" t="s">
        <v>68</v>
      </c>
      <c r="N2432" t="str">
        <f t="shared" si="312"/>
        <v>FOR</v>
      </c>
      <c r="O2432" t="s">
        <v>69</v>
      </c>
      <c r="P2432" t="s">
        <v>75</v>
      </c>
      <c r="Q2432">
        <v>2016</v>
      </c>
      <c r="R2432" s="4">
        <v>42516</v>
      </c>
      <c r="S2432" s="2">
        <v>42520</v>
      </c>
      <c r="T2432" s="2">
        <v>42517</v>
      </c>
      <c r="U2432" s="4">
        <v>42577</v>
      </c>
      <c r="V2432" t="s">
        <v>71</v>
      </c>
      <c r="W2432" t="str">
        <f>"               12506"</f>
        <v xml:space="preserve">               12506</v>
      </c>
      <c r="X2432" s="1">
        <v>1738.5</v>
      </c>
      <c r="Y2432">
        <v>0</v>
      </c>
      <c r="Z2432" s="5">
        <v>1425</v>
      </c>
      <c r="AA2432" s="3">
        <v>189</v>
      </c>
      <c r="AB2432" s="5">
        <v>269325</v>
      </c>
      <c r="AC2432" s="1">
        <v>1425</v>
      </c>
      <c r="AD2432">
        <v>189</v>
      </c>
      <c r="AE2432" s="1">
        <v>269325</v>
      </c>
      <c r="AF2432">
        <v>0</v>
      </c>
      <c r="AJ2432">
        <v>0</v>
      </c>
      <c r="AK2432">
        <v>0</v>
      </c>
      <c r="AL2432">
        <v>0</v>
      </c>
      <c r="AM2432">
        <v>0</v>
      </c>
      <c r="AN2432">
        <v>0</v>
      </c>
      <c r="AO2432">
        <v>0</v>
      </c>
      <c r="AP2432" s="2">
        <v>42831</v>
      </c>
      <c r="AQ2432" t="s">
        <v>72</v>
      </c>
      <c r="AR2432" t="s">
        <v>72</v>
      </c>
      <c r="AS2432">
        <v>176</v>
      </c>
      <c r="AT2432" s="4">
        <v>42766</v>
      </c>
      <c r="AU2432" t="s">
        <v>73</v>
      </c>
      <c r="AV2432">
        <v>176</v>
      </c>
      <c r="AW2432" s="4">
        <v>42766</v>
      </c>
      <c r="BD2432">
        <v>0</v>
      </c>
      <c r="BN2432" t="s">
        <v>74</v>
      </c>
    </row>
    <row r="2433" spans="1:66">
      <c r="A2433">
        <v>106705</v>
      </c>
      <c r="B2433" t="s">
        <v>511</v>
      </c>
      <c r="C2433" s="1">
        <v>43300101</v>
      </c>
      <c r="D2433" t="s">
        <v>67</v>
      </c>
      <c r="H2433" t="str">
        <f>""</f>
        <v/>
      </c>
      <c r="I2433" t="str">
        <f>"08227521211"</f>
        <v>08227521211</v>
      </c>
      <c r="K2433" t="str">
        <f>""</f>
        <v/>
      </c>
      <c r="M2433" t="s">
        <v>68</v>
      </c>
      <c r="N2433" t="str">
        <f t="shared" si="312"/>
        <v>FOR</v>
      </c>
      <c r="O2433" t="s">
        <v>69</v>
      </c>
      <c r="P2433" t="s">
        <v>75</v>
      </c>
      <c r="Q2433">
        <v>2017</v>
      </c>
      <c r="R2433" s="4">
        <v>42797</v>
      </c>
      <c r="S2433" s="2">
        <v>42801</v>
      </c>
      <c r="T2433" s="2">
        <v>42800</v>
      </c>
      <c r="U2433" s="4">
        <v>42860</v>
      </c>
      <c r="V2433" t="s">
        <v>71</v>
      </c>
      <c r="W2433" t="str">
        <f>"                4448"</f>
        <v xml:space="preserve">                4448</v>
      </c>
      <c r="X2433">
        <v>244</v>
      </c>
      <c r="Y2433">
        <v>0</v>
      </c>
      <c r="Z2433" s="5">
        <v>200</v>
      </c>
      <c r="AA2433" s="3">
        <v>-51</v>
      </c>
      <c r="AB2433" s="5">
        <v>-10200</v>
      </c>
      <c r="AC2433">
        <v>200</v>
      </c>
      <c r="AD2433">
        <v>-51</v>
      </c>
      <c r="AE2433" s="1">
        <v>-10200</v>
      </c>
      <c r="AF2433">
        <v>44</v>
      </c>
      <c r="AJ2433">
        <v>244</v>
      </c>
      <c r="AK2433">
        <v>244</v>
      </c>
      <c r="AL2433">
        <v>244</v>
      </c>
      <c r="AM2433">
        <v>244</v>
      </c>
      <c r="AN2433">
        <v>244</v>
      </c>
      <c r="AO2433">
        <v>244</v>
      </c>
      <c r="AP2433" s="2">
        <v>42831</v>
      </c>
      <c r="AQ2433" t="s">
        <v>72</v>
      </c>
      <c r="AR2433" t="s">
        <v>72</v>
      </c>
      <c r="AS2433">
        <v>762</v>
      </c>
      <c r="AT2433" s="4">
        <v>42809</v>
      </c>
      <c r="AV2433">
        <v>762</v>
      </c>
      <c r="AW2433" s="4">
        <v>42809</v>
      </c>
      <c r="BD2433">
        <v>0</v>
      </c>
      <c r="BG2433">
        <v>44</v>
      </c>
      <c r="BN2433" t="s">
        <v>74</v>
      </c>
    </row>
    <row r="2434" spans="1:66">
      <c r="A2434">
        <v>106706</v>
      </c>
      <c r="B2434" t="s">
        <v>512</v>
      </c>
      <c r="C2434" s="1">
        <v>43300101</v>
      </c>
      <c r="D2434" t="s">
        <v>67</v>
      </c>
      <c r="H2434" t="str">
        <f t="shared" ref="H2434:I2436" si="314">"03972700714"</f>
        <v>03972700714</v>
      </c>
      <c r="I2434" t="str">
        <f t="shared" si="314"/>
        <v>03972700714</v>
      </c>
      <c r="K2434" t="str">
        <f>""</f>
        <v/>
      </c>
      <c r="M2434" t="s">
        <v>68</v>
      </c>
      <c r="N2434" t="str">
        <f t="shared" si="312"/>
        <v>FOR</v>
      </c>
      <c r="O2434" t="s">
        <v>69</v>
      </c>
      <c r="P2434" t="s">
        <v>75</v>
      </c>
      <c r="Q2434">
        <v>2016</v>
      </c>
      <c r="R2434" s="4">
        <v>42514</v>
      </c>
      <c r="S2434" s="2">
        <v>42514</v>
      </c>
      <c r="T2434" s="2">
        <v>42514</v>
      </c>
      <c r="U2434" s="4">
        <v>42574</v>
      </c>
      <c r="V2434" t="s">
        <v>71</v>
      </c>
      <c r="W2434" t="str">
        <f>"               12/PA"</f>
        <v xml:space="preserve">               12/PA</v>
      </c>
      <c r="X2434" s="1">
        <v>11161.78</v>
      </c>
      <c r="Y2434">
        <v>0</v>
      </c>
      <c r="Z2434" s="5">
        <v>9149</v>
      </c>
      <c r="AA2434" s="3">
        <v>221</v>
      </c>
      <c r="AB2434" s="5">
        <v>2021929</v>
      </c>
      <c r="AC2434" s="1">
        <v>9149</v>
      </c>
      <c r="AD2434">
        <v>221</v>
      </c>
      <c r="AE2434" s="1">
        <v>2021929</v>
      </c>
      <c r="AF2434" s="1">
        <v>2012.78</v>
      </c>
      <c r="AJ2434">
        <v>0</v>
      </c>
      <c r="AK2434">
        <v>0</v>
      </c>
      <c r="AL2434">
        <v>0</v>
      </c>
      <c r="AM2434">
        <v>0</v>
      </c>
      <c r="AN2434">
        <v>0</v>
      </c>
      <c r="AO2434">
        <v>0</v>
      </c>
      <c r="AP2434" s="2">
        <v>42831</v>
      </c>
      <c r="AQ2434" t="s">
        <v>72</v>
      </c>
      <c r="AR2434" t="s">
        <v>72</v>
      </c>
      <c r="AS2434">
        <v>645</v>
      </c>
      <c r="AT2434" s="4">
        <v>42795</v>
      </c>
      <c r="AU2434" t="s">
        <v>73</v>
      </c>
      <c r="AV2434">
        <v>645</v>
      </c>
      <c r="AW2434" s="4">
        <v>42795</v>
      </c>
      <c r="BD2434" s="1">
        <v>2012.78</v>
      </c>
      <c r="BN2434" t="s">
        <v>74</v>
      </c>
    </row>
    <row r="2435" spans="1:66">
      <c r="A2435">
        <v>106706</v>
      </c>
      <c r="B2435" t="s">
        <v>512</v>
      </c>
      <c r="C2435" s="1">
        <v>43300101</v>
      </c>
      <c r="D2435" t="s">
        <v>67</v>
      </c>
      <c r="H2435" t="str">
        <f t="shared" si="314"/>
        <v>03972700714</v>
      </c>
      <c r="I2435" t="str">
        <f t="shared" si="314"/>
        <v>03972700714</v>
      </c>
      <c r="K2435" t="str">
        <f>""</f>
        <v/>
      </c>
      <c r="M2435" t="s">
        <v>68</v>
      </c>
      <c r="N2435" t="str">
        <f t="shared" si="312"/>
        <v>FOR</v>
      </c>
      <c r="O2435" t="s">
        <v>69</v>
      </c>
      <c r="P2435" t="s">
        <v>75</v>
      </c>
      <c r="Q2435">
        <v>2016</v>
      </c>
      <c r="R2435" s="4">
        <v>42543</v>
      </c>
      <c r="S2435" s="2">
        <v>42545</v>
      </c>
      <c r="T2435" s="2">
        <v>42543</v>
      </c>
      <c r="U2435" s="4">
        <v>42603</v>
      </c>
      <c r="V2435" t="s">
        <v>71</v>
      </c>
      <c r="W2435" t="str">
        <f>"               17/PA"</f>
        <v xml:space="preserve">               17/PA</v>
      </c>
      <c r="X2435" s="1">
        <v>5270.4</v>
      </c>
      <c r="Y2435">
        <v>0</v>
      </c>
      <c r="Z2435" s="5">
        <v>4320</v>
      </c>
      <c r="AA2435" s="3">
        <v>192</v>
      </c>
      <c r="AB2435" s="5">
        <v>829440</v>
      </c>
      <c r="AC2435" s="1">
        <v>4320</v>
      </c>
      <c r="AD2435">
        <v>192</v>
      </c>
      <c r="AE2435" s="1">
        <v>829440</v>
      </c>
      <c r="AF2435">
        <v>950.4</v>
      </c>
      <c r="AJ2435">
        <v>0</v>
      </c>
      <c r="AK2435">
        <v>0</v>
      </c>
      <c r="AL2435">
        <v>0</v>
      </c>
      <c r="AM2435">
        <v>0</v>
      </c>
      <c r="AN2435">
        <v>0</v>
      </c>
      <c r="AO2435">
        <v>0</v>
      </c>
      <c r="AP2435" s="2">
        <v>42831</v>
      </c>
      <c r="AQ2435" t="s">
        <v>72</v>
      </c>
      <c r="AR2435" t="s">
        <v>72</v>
      </c>
      <c r="AS2435">
        <v>645</v>
      </c>
      <c r="AT2435" s="4">
        <v>42795</v>
      </c>
      <c r="AU2435" t="s">
        <v>73</v>
      </c>
      <c r="AV2435">
        <v>645</v>
      </c>
      <c r="AW2435" s="4">
        <v>42795</v>
      </c>
      <c r="BD2435">
        <v>950.4</v>
      </c>
      <c r="BN2435" t="s">
        <v>74</v>
      </c>
    </row>
    <row r="2436" spans="1:66">
      <c r="A2436">
        <v>106706</v>
      </c>
      <c r="B2436" t="s">
        <v>512</v>
      </c>
      <c r="C2436" s="1">
        <v>43300101</v>
      </c>
      <c r="D2436" t="s">
        <v>67</v>
      </c>
      <c r="H2436" t="str">
        <f t="shared" si="314"/>
        <v>03972700714</v>
      </c>
      <c r="I2436" t="str">
        <f t="shared" si="314"/>
        <v>03972700714</v>
      </c>
      <c r="K2436" t="str">
        <f>""</f>
        <v/>
      </c>
      <c r="M2436" t="s">
        <v>68</v>
      </c>
      <c r="N2436" t="str">
        <f t="shared" si="312"/>
        <v>FOR</v>
      </c>
      <c r="O2436" t="s">
        <v>69</v>
      </c>
      <c r="P2436" t="s">
        <v>75</v>
      </c>
      <c r="Q2436">
        <v>2016</v>
      </c>
      <c r="R2436" s="4">
        <v>42565</v>
      </c>
      <c r="S2436" s="2">
        <v>42577</v>
      </c>
      <c r="T2436" s="2">
        <v>42567</v>
      </c>
      <c r="U2436" s="4">
        <v>42627</v>
      </c>
      <c r="V2436" t="s">
        <v>71</v>
      </c>
      <c r="W2436" t="str">
        <f>"               18/PA"</f>
        <v xml:space="preserve">               18/PA</v>
      </c>
      <c r="X2436" s="1">
        <v>9979.6</v>
      </c>
      <c r="Y2436">
        <v>0</v>
      </c>
      <c r="Z2436" s="5">
        <v>8180</v>
      </c>
      <c r="AA2436" s="3">
        <v>168</v>
      </c>
      <c r="AB2436" s="5">
        <v>1374240</v>
      </c>
      <c r="AC2436" s="1">
        <v>8180</v>
      </c>
      <c r="AD2436">
        <v>168</v>
      </c>
      <c r="AE2436" s="1">
        <v>1374240</v>
      </c>
      <c r="AF2436" s="1">
        <v>1799.6</v>
      </c>
      <c r="AJ2436">
        <v>0</v>
      </c>
      <c r="AK2436">
        <v>0</v>
      </c>
      <c r="AL2436">
        <v>0</v>
      </c>
      <c r="AM2436">
        <v>0</v>
      </c>
      <c r="AN2436">
        <v>0</v>
      </c>
      <c r="AO2436">
        <v>0</v>
      </c>
      <c r="AP2436" s="2">
        <v>42831</v>
      </c>
      <c r="AQ2436" t="s">
        <v>72</v>
      </c>
      <c r="AR2436" t="s">
        <v>72</v>
      </c>
      <c r="AS2436">
        <v>645</v>
      </c>
      <c r="AT2436" s="4">
        <v>42795</v>
      </c>
      <c r="AU2436" t="s">
        <v>73</v>
      </c>
      <c r="AV2436">
        <v>645</v>
      </c>
      <c r="AW2436" s="4">
        <v>42795</v>
      </c>
      <c r="BD2436" s="1">
        <v>1799.6</v>
      </c>
      <c r="BN2436" t="s">
        <v>74</v>
      </c>
    </row>
    <row r="2437" spans="1:66">
      <c r="A2437">
        <v>106707</v>
      </c>
      <c r="B2437" t="s">
        <v>513</v>
      </c>
      <c r="C2437" s="1">
        <v>43300101</v>
      </c>
      <c r="D2437" t="s">
        <v>67</v>
      </c>
      <c r="H2437" t="str">
        <f>"06065650159"</f>
        <v>06065650159</v>
      </c>
      <c r="I2437" t="str">
        <f>"06065650159"</f>
        <v>06065650159</v>
      </c>
      <c r="K2437" t="str">
        <f>""</f>
        <v/>
      </c>
      <c r="M2437" t="s">
        <v>68</v>
      </c>
      <c r="N2437" t="str">
        <f t="shared" si="312"/>
        <v>FOR</v>
      </c>
      <c r="O2437" t="s">
        <v>69</v>
      </c>
      <c r="P2437" t="s">
        <v>75</v>
      </c>
      <c r="Q2437">
        <v>2016</v>
      </c>
      <c r="R2437" s="4">
        <v>42489</v>
      </c>
      <c r="S2437" s="2">
        <v>42492</v>
      </c>
      <c r="T2437" s="2">
        <v>42492</v>
      </c>
      <c r="U2437" s="4">
        <v>42552</v>
      </c>
      <c r="V2437" t="s">
        <v>71</v>
      </c>
      <c r="W2437" t="str">
        <f>"                1387"</f>
        <v xml:space="preserve">                1387</v>
      </c>
      <c r="X2437" s="1">
        <v>2950.35</v>
      </c>
      <c r="Y2437">
        <v>0</v>
      </c>
      <c r="Z2437" s="5">
        <v>2418.3200000000002</v>
      </c>
      <c r="AA2437" s="3">
        <v>223</v>
      </c>
      <c r="AB2437" s="5">
        <v>539285.36</v>
      </c>
      <c r="AC2437" s="1">
        <v>2418.3200000000002</v>
      </c>
      <c r="AD2437">
        <v>223</v>
      </c>
      <c r="AE2437" s="1">
        <v>539285.36</v>
      </c>
      <c r="AF2437">
        <v>0</v>
      </c>
      <c r="AJ2437">
        <v>0</v>
      </c>
      <c r="AK2437">
        <v>0</v>
      </c>
      <c r="AL2437">
        <v>0</v>
      </c>
      <c r="AM2437">
        <v>0</v>
      </c>
      <c r="AN2437">
        <v>0</v>
      </c>
      <c r="AO2437">
        <v>0</v>
      </c>
      <c r="AP2437" s="2">
        <v>42831</v>
      </c>
      <c r="AQ2437" t="s">
        <v>72</v>
      </c>
      <c r="AR2437" t="s">
        <v>72</v>
      </c>
      <c r="AS2437">
        <v>385</v>
      </c>
      <c r="AT2437" s="4">
        <v>42775</v>
      </c>
      <c r="AU2437" t="s">
        <v>73</v>
      </c>
      <c r="AV2437">
        <v>385</v>
      </c>
      <c r="AW2437" s="4">
        <v>42775</v>
      </c>
      <c r="BD2437">
        <v>0</v>
      </c>
      <c r="BN2437" t="s">
        <v>74</v>
      </c>
    </row>
    <row r="2438" spans="1:66">
      <c r="A2438">
        <v>106711</v>
      </c>
      <c r="B2438" t="s">
        <v>514</v>
      </c>
      <c r="C2438" s="1">
        <v>43300101</v>
      </c>
      <c r="D2438" t="s">
        <v>67</v>
      </c>
      <c r="H2438" t="str">
        <f>"01309350062"</f>
        <v>01309350062</v>
      </c>
      <c r="I2438" t="str">
        <f>"08938260158"</f>
        <v>08938260158</v>
      </c>
      <c r="K2438" t="str">
        <f>""</f>
        <v/>
      </c>
      <c r="M2438" t="s">
        <v>68</v>
      </c>
      <c r="N2438" t="str">
        <f t="shared" si="312"/>
        <v>FOR</v>
      </c>
      <c r="O2438" t="s">
        <v>69</v>
      </c>
      <c r="P2438" t="s">
        <v>75</v>
      </c>
      <c r="Q2438">
        <v>2016</v>
      </c>
      <c r="R2438" s="4">
        <v>42678</v>
      </c>
      <c r="S2438" s="2">
        <v>42735</v>
      </c>
      <c r="T2438" s="2">
        <v>42734</v>
      </c>
      <c r="U2438" s="4">
        <v>42794</v>
      </c>
      <c r="V2438" t="s">
        <v>71</v>
      </c>
      <c r="W2438" t="str">
        <f>"          6612143121"</f>
        <v xml:space="preserve">          6612143121</v>
      </c>
      <c r="X2438">
        <v>468.48</v>
      </c>
      <c r="Y2438">
        <v>0</v>
      </c>
      <c r="Z2438" s="5">
        <v>384</v>
      </c>
      <c r="AA2438" s="3">
        <v>-26</v>
      </c>
      <c r="AB2438" s="5">
        <v>-9984</v>
      </c>
      <c r="AC2438">
        <v>384</v>
      </c>
      <c r="AD2438">
        <v>-26</v>
      </c>
      <c r="AE2438" s="1">
        <v>-9984</v>
      </c>
      <c r="AF2438">
        <v>0</v>
      </c>
      <c r="AJ2438">
        <v>0</v>
      </c>
      <c r="AK2438">
        <v>0</v>
      </c>
      <c r="AL2438">
        <v>0</v>
      </c>
      <c r="AM2438">
        <v>0</v>
      </c>
      <c r="AN2438">
        <v>0</v>
      </c>
      <c r="AO2438">
        <v>0</v>
      </c>
      <c r="AP2438" s="2">
        <v>42831</v>
      </c>
      <c r="AQ2438" t="s">
        <v>72</v>
      </c>
      <c r="AR2438" t="s">
        <v>72</v>
      </c>
      <c r="AS2438">
        <v>287</v>
      </c>
      <c r="AT2438" s="4">
        <v>42768</v>
      </c>
      <c r="AV2438">
        <v>287</v>
      </c>
      <c r="AW2438" s="4">
        <v>42768</v>
      </c>
      <c r="BD2438">
        <v>0</v>
      </c>
      <c r="BN2438" t="s">
        <v>74</v>
      </c>
    </row>
    <row r="2439" spans="1:66">
      <c r="A2439">
        <v>106711</v>
      </c>
      <c r="B2439" t="s">
        <v>514</v>
      </c>
      <c r="C2439" s="1">
        <v>43300101</v>
      </c>
      <c r="D2439" t="s">
        <v>67</v>
      </c>
      <c r="H2439" t="str">
        <f>"01309350062"</f>
        <v>01309350062</v>
      </c>
      <c r="I2439" t="str">
        <f>"08938260158"</f>
        <v>08938260158</v>
      </c>
      <c r="K2439" t="str">
        <f>""</f>
        <v/>
      </c>
      <c r="M2439" t="s">
        <v>68</v>
      </c>
      <c r="N2439" t="str">
        <f t="shared" si="312"/>
        <v>FOR</v>
      </c>
      <c r="O2439" t="s">
        <v>69</v>
      </c>
      <c r="P2439" t="s">
        <v>75</v>
      </c>
      <c r="Q2439">
        <v>2016</v>
      </c>
      <c r="R2439" s="4">
        <v>42704</v>
      </c>
      <c r="S2439" s="2">
        <v>42711</v>
      </c>
      <c r="T2439" s="2">
        <v>42711</v>
      </c>
      <c r="U2439" s="4">
        <v>42771</v>
      </c>
      <c r="V2439" t="s">
        <v>71</v>
      </c>
      <c r="W2439" t="str">
        <f>"          6612149197"</f>
        <v xml:space="preserve">          6612149197</v>
      </c>
      <c r="X2439">
        <v>521.17999999999995</v>
      </c>
      <c r="Y2439">
        <v>0</v>
      </c>
      <c r="Z2439" s="5">
        <v>427.2</v>
      </c>
      <c r="AA2439" s="3">
        <v>-3</v>
      </c>
      <c r="AB2439" s="5">
        <v>-1281.5999999999999</v>
      </c>
      <c r="AC2439">
        <v>427.2</v>
      </c>
      <c r="AD2439">
        <v>-3</v>
      </c>
      <c r="AE2439" s="1">
        <v>-1281.5999999999999</v>
      </c>
      <c r="AF2439">
        <v>0</v>
      </c>
      <c r="AJ2439">
        <v>0</v>
      </c>
      <c r="AK2439">
        <v>0</v>
      </c>
      <c r="AL2439">
        <v>0</v>
      </c>
      <c r="AM2439">
        <v>0</v>
      </c>
      <c r="AN2439">
        <v>0</v>
      </c>
      <c r="AO2439">
        <v>0</v>
      </c>
      <c r="AP2439" s="2">
        <v>42831</v>
      </c>
      <c r="AQ2439" t="s">
        <v>72</v>
      </c>
      <c r="AR2439" t="s">
        <v>72</v>
      </c>
      <c r="AS2439">
        <v>287</v>
      </c>
      <c r="AT2439" s="4">
        <v>42768</v>
      </c>
      <c r="AV2439">
        <v>287</v>
      </c>
      <c r="AW2439" s="4">
        <v>42768</v>
      </c>
      <c r="BD2439">
        <v>0</v>
      </c>
      <c r="BN2439" t="s">
        <v>74</v>
      </c>
    </row>
    <row r="2440" spans="1:66">
      <c r="A2440">
        <v>106714</v>
      </c>
      <c r="B2440" t="s">
        <v>515</v>
      </c>
      <c r="C2440" s="1">
        <v>43300101</v>
      </c>
      <c r="D2440" t="s">
        <v>67</v>
      </c>
      <c r="H2440" t="str">
        <f>"02823921206"</f>
        <v>02823921206</v>
      </c>
      <c r="I2440" t="str">
        <f>"02823921206"</f>
        <v>02823921206</v>
      </c>
      <c r="K2440" t="str">
        <f>""</f>
        <v/>
      </c>
      <c r="M2440" t="s">
        <v>68</v>
      </c>
      <c r="N2440" t="str">
        <f t="shared" si="312"/>
        <v>FOR</v>
      </c>
      <c r="O2440" t="s">
        <v>69</v>
      </c>
      <c r="P2440" t="s">
        <v>75</v>
      </c>
      <c r="Q2440">
        <v>2016</v>
      </c>
      <c r="R2440" s="4">
        <v>42577</v>
      </c>
      <c r="S2440" s="2">
        <v>42584</v>
      </c>
      <c r="T2440" s="2">
        <v>42580</v>
      </c>
      <c r="U2440" s="4">
        <v>42640</v>
      </c>
      <c r="V2440" t="s">
        <v>71</v>
      </c>
      <c r="W2440" t="str">
        <f>"           160522-IT"</f>
        <v xml:space="preserve">           160522-IT</v>
      </c>
      <c r="X2440">
        <v>351.36</v>
      </c>
      <c r="Y2440">
        <v>0</v>
      </c>
      <c r="Z2440" s="5">
        <v>288</v>
      </c>
      <c r="AA2440" s="3">
        <v>143</v>
      </c>
      <c r="AB2440" s="5">
        <v>41184</v>
      </c>
      <c r="AC2440">
        <v>288</v>
      </c>
      <c r="AD2440">
        <v>143</v>
      </c>
      <c r="AE2440" s="1">
        <v>41184</v>
      </c>
      <c r="AF2440">
        <v>0</v>
      </c>
      <c r="AJ2440">
        <v>0</v>
      </c>
      <c r="AK2440">
        <v>0</v>
      </c>
      <c r="AL2440">
        <v>0</v>
      </c>
      <c r="AM2440">
        <v>0</v>
      </c>
      <c r="AN2440">
        <v>0</v>
      </c>
      <c r="AO2440">
        <v>0</v>
      </c>
      <c r="AP2440" s="2">
        <v>42831</v>
      </c>
      <c r="AQ2440" t="s">
        <v>72</v>
      </c>
      <c r="AR2440" t="s">
        <v>72</v>
      </c>
      <c r="AS2440">
        <v>492</v>
      </c>
      <c r="AT2440" s="4">
        <v>42783</v>
      </c>
      <c r="AU2440" t="s">
        <v>73</v>
      </c>
      <c r="AV2440">
        <v>492</v>
      </c>
      <c r="AW2440" s="4">
        <v>42783</v>
      </c>
      <c r="BD2440">
        <v>0</v>
      </c>
      <c r="BN2440" t="s">
        <v>74</v>
      </c>
    </row>
    <row r="2441" spans="1:66">
      <c r="A2441">
        <v>106717</v>
      </c>
      <c r="B2441" t="s">
        <v>516</v>
      </c>
      <c r="C2441" s="1">
        <v>43300101</v>
      </c>
      <c r="D2441" t="s">
        <v>67</v>
      </c>
      <c r="H2441" t="str">
        <f>"04830660280"</f>
        <v>04830660280</v>
      </c>
      <c r="I2441" t="str">
        <f>"04830660280"</f>
        <v>04830660280</v>
      </c>
      <c r="K2441" t="str">
        <f>""</f>
        <v/>
      </c>
      <c r="M2441" t="s">
        <v>68</v>
      </c>
      <c r="N2441" t="str">
        <f t="shared" si="312"/>
        <v>FOR</v>
      </c>
      <c r="O2441" t="s">
        <v>69</v>
      </c>
      <c r="P2441" t="s">
        <v>75</v>
      </c>
      <c r="Q2441">
        <v>2016</v>
      </c>
      <c r="R2441" s="4">
        <v>42486</v>
      </c>
      <c r="S2441" s="2">
        <v>42492</v>
      </c>
      <c r="T2441" s="2">
        <v>42488</v>
      </c>
      <c r="U2441" s="4">
        <v>42548</v>
      </c>
      <c r="V2441" t="s">
        <v>71</v>
      </c>
      <c r="W2441" t="str">
        <f>"          2280001849"</f>
        <v xml:space="preserve">          2280001849</v>
      </c>
      <c r="X2441" s="1">
        <v>2258.59</v>
      </c>
      <c r="Y2441">
        <v>0</v>
      </c>
      <c r="Z2441" s="5">
        <v>1851.3</v>
      </c>
      <c r="AA2441" s="3">
        <v>232</v>
      </c>
      <c r="AB2441" s="5">
        <v>429501.6</v>
      </c>
      <c r="AC2441" s="1">
        <v>1851.3</v>
      </c>
      <c r="AD2441">
        <v>232</v>
      </c>
      <c r="AE2441" s="1">
        <v>429501.6</v>
      </c>
      <c r="AF2441">
        <v>0</v>
      </c>
      <c r="AJ2441">
        <v>0</v>
      </c>
      <c r="AK2441">
        <v>0</v>
      </c>
      <c r="AL2441">
        <v>0</v>
      </c>
      <c r="AM2441">
        <v>0</v>
      </c>
      <c r="AN2441">
        <v>0</v>
      </c>
      <c r="AO2441">
        <v>0</v>
      </c>
      <c r="AP2441" s="2">
        <v>42831</v>
      </c>
      <c r="AQ2441" t="s">
        <v>72</v>
      </c>
      <c r="AR2441" t="s">
        <v>72</v>
      </c>
      <c r="AS2441">
        <v>439</v>
      </c>
      <c r="AT2441" s="4">
        <v>42780</v>
      </c>
      <c r="AU2441" t="s">
        <v>73</v>
      </c>
      <c r="AV2441">
        <v>439</v>
      </c>
      <c r="AW2441" s="4">
        <v>42780</v>
      </c>
      <c r="BD2441">
        <v>0</v>
      </c>
      <c r="BN2441" t="s">
        <v>74</v>
      </c>
    </row>
    <row r="2442" spans="1:66">
      <c r="A2442">
        <v>106729</v>
      </c>
      <c r="B2442" t="s">
        <v>517</v>
      </c>
      <c r="C2442" s="1">
        <v>43500101</v>
      </c>
      <c r="D2442" t="s">
        <v>98</v>
      </c>
      <c r="H2442" t="str">
        <f>"MZZFBA88S18A783G"</f>
        <v>MZZFBA88S18A783G</v>
      </c>
      <c r="I2442" t="str">
        <f>"01638650620"</f>
        <v>01638650620</v>
      </c>
      <c r="K2442" t="str">
        <f>""</f>
        <v/>
      </c>
      <c r="M2442" t="s">
        <v>68</v>
      </c>
      <c r="N2442" t="str">
        <f>"ALTPRO"</f>
        <v>ALTPRO</v>
      </c>
      <c r="O2442" t="s">
        <v>116</v>
      </c>
      <c r="P2442" t="s">
        <v>120</v>
      </c>
      <c r="Q2442">
        <v>2017</v>
      </c>
      <c r="R2442" s="4">
        <v>42744</v>
      </c>
      <c r="S2442" s="2">
        <v>42747</v>
      </c>
      <c r="T2442" s="2">
        <v>42745</v>
      </c>
      <c r="U2442" s="4">
        <v>42805</v>
      </c>
      <c r="V2442" t="s">
        <v>71</v>
      </c>
      <c r="W2442" t="str">
        <f>"         FATTPA 1_17"</f>
        <v xml:space="preserve">         FATTPA 1_17</v>
      </c>
      <c r="X2442">
        <v>833.25</v>
      </c>
      <c r="Y2442">
        <v>0</v>
      </c>
      <c r="Z2442" s="5">
        <v>833.25</v>
      </c>
      <c r="AA2442" s="3">
        <v>-40</v>
      </c>
      <c r="AB2442" s="5">
        <v>-33330</v>
      </c>
      <c r="AC2442">
        <v>833.25</v>
      </c>
      <c r="AD2442">
        <v>-40</v>
      </c>
      <c r="AE2442" s="1">
        <v>-33330</v>
      </c>
      <c r="AF2442">
        <v>0</v>
      </c>
      <c r="AJ2442">
        <v>833.25</v>
      </c>
      <c r="AK2442">
        <v>833.25</v>
      </c>
      <c r="AL2442">
        <v>833.25</v>
      </c>
      <c r="AM2442">
        <v>833.25</v>
      </c>
      <c r="AN2442">
        <v>833.25</v>
      </c>
      <c r="AO2442">
        <v>833.25</v>
      </c>
      <c r="AP2442" s="2">
        <v>42831</v>
      </c>
      <c r="AQ2442" t="s">
        <v>72</v>
      </c>
      <c r="AR2442" t="s">
        <v>72</v>
      </c>
      <c r="AS2442">
        <v>148</v>
      </c>
      <c r="AT2442" s="4">
        <v>42765</v>
      </c>
      <c r="AV2442">
        <v>148</v>
      </c>
      <c r="AW2442" s="4">
        <v>42765</v>
      </c>
      <c r="BD2442">
        <v>0</v>
      </c>
      <c r="BN2442" t="s">
        <v>74</v>
      </c>
    </row>
    <row r="2443" spans="1:66">
      <c r="A2443">
        <v>106729</v>
      </c>
      <c r="B2443" t="s">
        <v>517</v>
      </c>
      <c r="C2443" s="1">
        <v>43500101</v>
      </c>
      <c r="D2443" t="s">
        <v>98</v>
      </c>
      <c r="H2443" t="str">
        <f>"MZZFBA88S18A783G"</f>
        <v>MZZFBA88S18A783G</v>
      </c>
      <c r="I2443" t="str">
        <f>"01638650620"</f>
        <v>01638650620</v>
      </c>
      <c r="K2443" t="str">
        <f>""</f>
        <v/>
      </c>
      <c r="M2443" t="s">
        <v>68</v>
      </c>
      <c r="N2443" t="str">
        <f>"ALTPRO"</f>
        <v>ALTPRO</v>
      </c>
      <c r="O2443" t="s">
        <v>116</v>
      </c>
      <c r="P2443" t="s">
        <v>440</v>
      </c>
      <c r="Q2443">
        <v>2017</v>
      </c>
      <c r="R2443" s="4">
        <v>42767</v>
      </c>
      <c r="S2443" s="2">
        <v>42767</v>
      </c>
      <c r="T2443" s="2">
        <v>42767</v>
      </c>
      <c r="U2443" s="4">
        <v>42827</v>
      </c>
      <c r="V2443" t="s">
        <v>71</v>
      </c>
      <c r="W2443" t="str">
        <f>"         FATTPA 2_17"</f>
        <v xml:space="preserve">         FATTPA 2_17</v>
      </c>
      <c r="X2443">
        <v>-5.08</v>
      </c>
      <c r="Y2443">
        <v>0</v>
      </c>
      <c r="Z2443" s="5">
        <v>-5.08</v>
      </c>
      <c r="AA2443" s="3">
        <v>-47</v>
      </c>
      <c r="AB2443" s="3">
        <v>238.76</v>
      </c>
      <c r="AC2443">
        <v>-5.08</v>
      </c>
      <c r="AD2443">
        <v>-47</v>
      </c>
      <c r="AE2443">
        <v>238.76</v>
      </c>
      <c r="AF2443">
        <v>0</v>
      </c>
      <c r="AJ2443">
        <v>-5.08</v>
      </c>
      <c r="AK2443">
        <v>-5.08</v>
      </c>
      <c r="AL2443">
        <v>-5.08</v>
      </c>
      <c r="AM2443">
        <v>-5.08</v>
      </c>
      <c r="AN2443">
        <v>-5.08</v>
      </c>
      <c r="AO2443">
        <v>-5.08</v>
      </c>
      <c r="AP2443" s="2">
        <v>42831</v>
      </c>
      <c r="AQ2443" t="s">
        <v>72</v>
      </c>
      <c r="AR2443" t="s">
        <v>72</v>
      </c>
      <c r="AS2443">
        <v>428</v>
      </c>
      <c r="AT2443" s="4">
        <v>42780</v>
      </c>
      <c r="AV2443">
        <v>428</v>
      </c>
      <c r="AW2443" s="4">
        <v>42780</v>
      </c>
      <c r="BD2443">
        <v>0</v>
      </c>
      <c r="BN2443" t="s">
        <v>74</v>
      </c>
    </row>
    <row r="2444" spans="1:66">
      <c r="A2444">
        <v>106729</v>
      </c>
      <c r="B2444" t="s">
        <v>517</v>
      </c>
      <c r="C2444" s="1">
        <v>43500101</v>
      </c>
      <c r="D2444" t="s">
        <v>98</v>
      </c>
      <c r="H2444" t="str">
        <f>"MZZFBA88S18A783G"</f>
        <v>MZZFBA88S18A783G</v>
      </c>
      <c r="I2444" t="str">
        <f>"01638650620"</f>
        <v>01638650620</v>
      </c>
      <c r="K2444" t="str">
        <f>""</f>
        <v/>
      </c>
      <c r="M2444" t="s">
        <v>68</v>
      </c>
      <c r="N2444" t="str">
        <f>"ALTPRO"</f>
        <v>ALTPRO</v>
      </c>
      <c r="O2444" t="s">
        <v>116</v>
      </c>
      <c r="P2444" t="s">
        <v>120</v>
      </c>
      <c r="Q2444">
        <v>2017</v>
      </c>
      <c r="R2444" s="4">
        <v>42769</v>
      </c>
      <c r="S2444" s="2">
        <v>42773</v>
      </c>
      <c r="T2444" s="2">
        <v>42769</v>
      </c>
      <c r="U2444" s="4">
        <v>42829</v>
      </c>
      <c r="V2444" t="s">
        <v>71</v>
      </c>
      <c r="W2444" t="str">
        <f>"         FATTPA 3_17"</f>
        <v xml:space="preserve">         FATTPA 3_17</v>
      </c>
      <c r="X2444">
        <v>833.25</v>
      </c>
      <c r="Y2444">
        <v>0</v>
      </c>
      <c r="Z2444" s="5">
        <v>833.25</v>
      </c>
      <c r="AA2444" s="3">
        <v>-49</v>
      </c>
      <c r="AB2444" s="5">
        <v>-40829.25</v>
      </c>
      <c r="AC2444">
        <v>833.25</v>
      </c>
      <c r="AD2444">
        <v>-49</v>
      </c>
      <c r="AE2444" s="1">
        <v>-40829.25</v>
      </c>
      <c r="AF2444">
        <v>0</v>
      </c>
      <c r="AJ2444">
        <v>833.25</v>
      </c>
      <c r="AK2444">
        <v>833.25</v>
      </c>
      <c r="AL2444">
        <v>833.25</v>
      </c>
      <c r="AM2444">
        <v>833.25</v>
      </c>
      <c r="AN2444">
        <v>833.25</v>
      </c>
      <c r="AO2444">
        <v>833.25</v>
      </c>
      <c r="AP2444" s="2">
        <v>42831</v>
      </c>
      <c r="AQ2444" t="s">
        <v>72</v>
      </c>
      <c r="AR2444" t="s">
        <v>72</v>
      </c>
      <c r="AS2444">
        <v>428</v>
      </c>
      <c r="AT2444" s="4">
        <v>42780</v>
      </c>
      <c r="AV2444">
        <v>428</v>
      </c>
      <c r="AW2444" s="4">
        <v>42780</v>
      </c>
      <c r="BD2444">
        <v>0</v>
      </c>
      <c r="BN2444" t="s">
        <v>74</v>
      </c>
    </row>
    <row r="2445" spans="1:66">
      <c r="A2445">
        <v>106729</v>
      </c>
      <c r="B2445" t="s">
        <v>517</v>
      </c>
      <c r="C2445" s="1">
        <v>43500101</v>
      </c>
      <c r="D2445" t="s">
        <v>98</v>
      </c>
      <c r="H2445" t="str">
        <f>"MZZFBA88S18A783G"</f>
        <v>MZZFBA88S18A783G</v>
      </c>
      <c r="I2445" t="str">
        <f>"01638650620"</f>
        <v>01638650620</v>
      </c>
      <c r="K2445" t="str">
        <f>""</f>
        <v/>
      </c>
      <c r="M2445" t="s">
        <v>68</v>
      </c>
      <c r="N2445" t="str">
        <f>"ALTPRO"</f>
        <v>ALTPRO</v>
      </c>
      <c r="O2445" t="s">
        <v>116</v>
      </c>
      <c r="P2445" t="s">
        <v>120</v>
      </c>
      <c r="Q2445">
        <v>2017</v>
      </c>
      <c r="R2445" s="4">
        <v>42797</v>
      </c>
      <c r="S2445" s="2">
        <v>42797</v>
      </c>
      <c r="T2445" s="2">
        <v>42797</v>
      </c>
      <c r="U2445" s="4">
        <v>42857</v>
      </c>
      <c r="V2445" t="s">
        <v>71</v>
      </c>
      <c r="W2445" t="str">
        <f>"         FATTPA 4_17"</f>
        <v xml:space="preserve">         FATTPA 4_17</v>
      </c>
      <c r="X2445">
        <v>833.25</v>
      </c>
      <c r="Y2445">
        <v>0</v>
      </c>
      <c r="Z2445" s="5">
        <v>833.25</v>
      </c>
      <c r="AA2445" s="3">
        <v>-41</v>
      </c>
      <c r="AB2445" s="5">
        <v>-34163.25</v>
      </c>
      <c r="AC2445">
        <v>833.25</v>
      </c>
      <c r="AD2445">
        <v>-41</v>
      </c>
      <c r="AE2445" s="1">
        <v>-34163.25</v>
      </c>
      <c r="AF2445">
        <v>0</v>
      </c>
      <c r="AJ2445">
        <v>833.25</v>
      </c>
      <c r="AK2445">
        <v>833.25</v>
      </c>
      <c r="AL2445">
        <v>833.25</v>
      </c>
      <c r="AM2445">
        <v>833.25</v>
      </c>
      <c r="AN2445">
        <v>833.25</v>
      </c>
      <c r="AO2445">
        <v>833.25</v>
      </c>
      <c r="AP2445" s="2">
        <v>42831</v>
      </c>
      <c r="AQ2445" t="s">
        <v>72</v>
      </c>
      <c r="AR2445" t="s">
        <v>72</v>
      </c>
      <c r="AS2445">
        <v>883</v>
      </c>
      <c r="AT2445" s="4">
        <v>42816</v>
      </c>
      <c r="AV2445">
        <v>883</v>
      </c>
      <c r="AW2445" s="4">
        <v>42816</v>
      </c>
      <c r="BD2445">
        <v>0</v>
      </c>
      <c r="BN2445" t="s">
        <v>74</v>
      </c>
    </row>
    <row r="2446" spans="1:66">
      <c r="A2446">
        <v>106735</v>
      </c>
      <c r="B2446" t="s">
        <v>518</v>
      </c>
      <c r="C2446" s="1">
        <v>43300101</v>
      </c>
      <c r="D2446" t="s">
        <v>67</v>
      </c>
      <c r="H2446" t="str">
        <f>"02399110614"</f>
        <v>02399110614</v>
      </c>
      <c r="I2446" t="str">
        <f>"02399110614"</f>
        <v>02399110614</v>
      </c>
      <c r="K2446" t="str">
        <f>""</f>
        <v/>
      </c>
      <c r="M2446" t="s">
        <v>68</v>
      </c>
      <c r="N2446" t="str">
        <f>"FOR"</f>
        <v>FOR</v>
      </c>
      <c r="O2446" t="s">
        <v>69</v>
      </c>
      <c r="P2446" t="s">
        <v>75</v>
      </c>
      <c r="Q2446">
        <v>2016</v>
      </c>
      <c r="R2446" s="4">
        <v>42520</v>
      </c>
      <c r="S2446" s="2">
        <v>42521</v>
      </c>
      <c r="T2446" s="2">
        <v>42521</v>
      </c>
      <c r="U2446" s="4">
        <v>42581</v>
      </c>
      <c r="V2446" t="s">
        <v>71</v>
      </c>
      <c r="W2446" t="str">
        <f>"          107/2016/F"</f>
        <v xml:space="preserve">          107/2016/F</v>
      </c>
      <c r="X2446" s="1">
        <v>6100</v>
      </c>
      <c r="Y2446">
        <v>0</v>
      </c>
      <c r="Z2446" s="5">
        <v>5000</v>
      </c>
      <c r="AA2446" s="3">
        <v>212</v>
      </c>
      <c r="AB2446" s="5">
        <v>1060000</v>
      </c>
      <c r="AC2446" s="1">
        <v>5000</v>
      </c>
      <c r="AD2446">
        <v>212</v>
      </c>
      <c r="AE2446" s="1">
        <v>1060000</v>
      </c>
      <c r="AF2446">
        <v>0</v>
      </c>
      <c r="AJ2446">
        <v>0</v>
      </c>
      <c r="AK2446">
        <v>0</v>
      </c>
      <c r="AL2446">
        <v>0</v>
      </c>
      <c r="AM2446">
        <v>0</v>
      </c>
      <c r="AN2446">
        <v>0</v>
      </c>
      <c r="AO2446">
        <v>0</v>
      </c>
      <c r="AP2446" s="2">
        <v>42831</v>
      </c>
      <c r="AQ2446" t="s">
        <v>72</v>
      </c>
      <c r="AR2446" t="s">
        <v>72</v>
      </c>
      <c r="AS2446">
        <v>610</v>
      </c>
      <c r="AT2446" s="4">
        <v>42793</v>
      </c>
      <c r="AU2446" t="s">
        <v>73</v>
      </c>
      <c r="AV2446">
        <v>610</v>
      </c>
      <c r="AW2446" s="4">
        <v>42793</v>
      </c>
      <c r="BD2446">
        <v>0</v>
      </c>
      <c r="BN2446" t="s">
        <v>74</v>
      </c>
    </row>
    <row r="2447" spans="1:66">
      <c r="A2447">
        <v>106741</v>
      </c>
      <c r="B2447" t="s">
        <v>519</v>
      </c>
      <c r="C2447" s="1">
        <v>43300101</v>
      </c>
      <c r="D2447" t="s">
        <v>67</v>
      </c>
      <c r="H2447" t="str">
        <f>"07717721216"</f>
        <v>07717721216</v>
      </c>
      <c r="I2447" t="str">
        <f>"07717721216"</f>
        <v>07717721216</v>
      </c>
      <c r="K2447" t="str">
        <f>""</f>
        <v/>
      </c>
      <c r="M2447" t="s">
        <v>68</v>
      </c>
      <c r="N2447" t="str">
        <f>"FOR"</f>
        <v>FOR</v>
      </c>
      <c r="O2447" t="s">
        <v>69</v>
      </c>
      <c r="P2447" t="s">
        <v>75</v>
      </c>
      <c r="Q2447">
        <v>2016</v>
      </c>
      <c r="R2447" s="4">
        <v>42677</v>
      </c>
      <c r="S2447" s="2">
        <v>42689</v>
      </c>
      <c r="T2447" s="2">
        <v>42677</v>
      </c>
      <c r="U2447" s="4">
        <v>42737</v>
      </c>
      <c r="V2447" t="s">
        <v>71</v>
      </c>
      <c r="W2447" t="str">
        <f>"                2/36"</f>
        <v xml:space="preserve">                2/36</v>
      </c>
      <c r="X2447" s="1">
        <v>4148</v>
      </c>
      <c r="Y2447">
        <v>0</v>
      </c>
      <c r="Z2447" s="5">
        <v>3400</v>
      </c>
      <c r="AA2447" s="3">
        <v>38</v>
      </c>
      <c r="AB2447" s="5">
        <v>129200</v>
      </c>
      <c r="AC2447" s="1">
        <v>3400</v>
      </c>
      <c r="AD2447">
        <v>38</v>
      </c>
      <c r="AE2447" s="1">
        <v>129200</v>
      </c>
      <c r="AF2447">
        <v>0</v>
      </c>
      <c r="AJ2447">
        <v>0</v>
      </c>
      <c r="AK2447">
        <v>0</v>
      </c>
      <c r="AL2447">
        <v>0</v>
      </c>
      <c r="AM2447">
        <v>0</v>
      </c>
      <c r="AN2447">
        <v>0</v>
      </c>
      <c r="AO2447">
        <v>0</v>
      </c>
      <c r="AP2447" s="2">
        <v>42831</v>
      </c>
      <c r="AQ2447" t="s">
        <v>72</v>
      </c>
      <c r="AR2447" t="s">
        <v>72</v>
      </c>
      <c r="AS2447">
        <v>378</v>
      </c>
      <c r="AT2447" s="4">
        <v>42775</v>
      </c>
      <c r="AU2447" t="s">
        <v>73</v>
      </c>
      <c r="AV2447">
        <v>378</v>
      </c>
      <c r="AW2447" s="4">
        <v>42775</v>
      </c>
      <c r="BD2447">
        <v>0</v>
      </c>
      <c r="BN2447" t="s">
        <v>74</v>
      </c>
    </row>
    <row r="2448" spans="1:66">
      <c r="A2448">
        <v>106746</v>
      </c>
      <c r="B2448" t="s">
        <v>520</v>
      </c>
      <c r="C2448" s="1">
        <v>43500101</v>
      </c>
      <c r="D2448" t="s">
        <v>98</v>
      </c>
      <c r="H2448" t="str">
        <f>"MCAVLR84D59A783V"</f>
        <v>MCAVLR84D59A783V</v>
      </c>
      <c r="I2448" t="str">
        <f>"01652560622"</f>
        <v>01652560622</v>
      </c>
      <c r="K2448" t="str">
        <f>""</f>
        <v/>
      </c>
      <c r="M2448" t="s">
        <v>68</v>
      </c>
      <c r="N2448" t="str">
        <f>"ALT"</f>
        <v>ALT</v>
      </c>
      <c r="O2448" t="s">
        <v>99</v>
      </c>
      <c r="P2448" t="s">
        <v>75</v>
      </c>
      <c r="Q2448">
        <v>2016</v>
      </c>
      <c r="R2448" s="4">
        <v>42719</v>
      </c>
      <c r="S2448" s="2">
        <v>42723</v>
      </c>
      <c r="T2448" s="2">
        <v>42720</v>
      </c>
      <c r="U2448" s="4">
        <v>42780</v>
      </c>
      <c r="V2448" t="s">
        <v>71</v>
      </c>
      <c r="W2448" t="str">
        <f>"                  3A"</f>
        <v xml:space="preserve">                  3A</v>
      </c>
      <c r="X2448" s="1">
        <v>6000</v>
      </c>
      <c r="Y2448">
        <v>0</v>
      </c>
      <c r="Z2448" s="5">
        <v>6000</v>
      </c>
      <c r="AA2448" s="3">
        <v>-15</v>
      </c>
      <c r="AB2448" s="5">
        <v>-90000</v>
      </c>
      <c r="AC2448" s="1">
        <v>6000</v>
      </c>
      <c r="AD2448">
        <v>-15</v>
      </c>
      <c r="AE2448" s="1">
        <v>-90000</v>
      </c>
      <c r="AF2448">
        <v>0</v>
      </c>
      <c r="AJ2448">
        <v>0</v>
      </c>
      <c r="AK2448">
        <v>0</v>
      </c>
      <c r="AL2448">
        <v>0</v>
      </c>
      <c r="AM2448">
        <v>0</v>
      </c>
      <c r="AN2448">
        <v>0</v>
      </c>
      <c r="AO2448">
        <v>0</v>
      </c>
      <c r="AP2448" s="2">
        <v>42831</v>
      </c>
      <c r="AQ2448" t="s">
        <v>72</v>
      </c>
      <c r="AR2448" t="s">
        <v>72</v>
      </c>
      <c r="AS2448">
        <v>147</v>
      </c>
      <c r="AT2448" s="4">
        <v>42765</v>
      </c>
      <c r="AV2448">
        <v>147</v>
      </c>
      <c r="AW2448" s="4">
        <v>42765</v>
      </c>
      <c r="BD2448">
        <v>0</v>
      </c>
      <c r="BN2448" t="s">
        <v>74</v>
      </c>
    </row>
    <row r="2449" spans="1:66">
      <c r="A2449">
        <v>106749</v>
      </c>
      <c r="B2449" t="s">
        <v>521</v>
      </c>
      <c r="C2449" s="1">
        <v>43300101</v>
      </c>
      <c r="D2449" t="s">
        <v>67</v>
      </c>
      <c r="H2449" t="str">
        <f>"06058020964"</f>
        <v>06058020964</v>
      </c>
      <c r="I2449" t="str">
        <f>"06058020964"</f>
        <v>06058020964</v>
      </c>
      <c r="K2449" t="str">
        <f>""</f>
        <v/>
      </c>
      <c r="M2449" t="s">
        <v>68</v>
      </c>
      <c r="N2449" t="str">
        <f>"FOR"</f>
        <v>FOR</v>
      </c>
      <c r="O2449" t="s">
        <v>69</v>
      </c>
      <c r="P2449" t="s">
        <v>75</v>
      </c>
      <c r="Q2449">
        <v>2016</v>
      </c>
      <c r="R2449" s="4">
        <v>42671</v>
      </c>
      <c r="S2449" s="2">
        <v>42697</v>
      </c>
      <c r="T2449" s="2">
        <v>42695</v>
      </c>
      <c r="U2449" s="4">
        <v>42755</v>
      </c>
      <c r="V2449" t="s">
        <v>71</v>
      </c>
      <c r="W2449" t="str">
        <f>"           161007314"</f>
        <v xml:space="preserve">           161007314</v>
      </c>
      <c r="X2449">
        <v>673.2</v>
      </c>
      <c r="Y2449">
        <v>0</v>
      </c>
      <c r="Z2449" s="5">
        <v>612</v>
      </c>
      <c r="AA2449" s="3">
        <v>13</v>
      </c>
      <c r="AB2449" s="5">
        <v>7956</v>
      </c>
      <c r="AC2449">
        <v>612</v>
      </c>
      <c r="AD2449">
        <v>13</v>
      </c>
      <c r="AE2449" s="1">
        <v>7956</v>
      </c>
      <c r="AF2449">
        <v>0</v>
      </c>
      <c r="AJ2449">
        <v>0</v>
      </c>
      <c r="AK2449">
        <v>0</v>
      </c>
      <c r="AL2449">
        <v>0</v>
      </c>
      <c r="AM2449">
        <v>0</v>
      </c>
      <c r="AN2449">
        <v>0</v>
      </c>
      <c r="AO2449">
        <v>0</v>
      </c>
      <c r="AP2449" s="2">
        <v>42831</v>
      </c>
      <c r="AQ2449" t="s">
        <v>72</v>
      </c>
      <c r="AR2449" t="s">
        <v>72</v>
      </c>
      <c r="AS2449">
        <v>264</v>
      </c>
      <c r="AT2449" s="4">
        <v>42768</v>
      </c>
      <c r="AU2449" t="s">
        <v>73</v>
      </c>
      <c r="AV2449">
        <v>264</v>
      </c>
      <c r="AW2449" s="4">
        <v>42768</v>
      </c>
      <c r="BD2449">
        <v>0</v>
      </c>
      <c r="BN2449" t="s">
        <v>74</v>
      </c>
    </row>
    <row r="2450" spans="1:66">
      <c r="A2450">
        <v>106749</v>
      </c>
      <c r="B2450" t="s">
        <v>521</v>
      </c>
      <c r="C2450" s="1">
        <v>43300101</v>
      </c>
      <c r="D2450" t="s">
        <v>67</v>
      </c>
      <c r="H2450" t="str">
        <f>"06058020964"</f>
        <v>06058020964</v>
      </c>
      <c r="I2450" t="str">
        <f>"06058020964"</f>
        <v>06058020964</v>
      </c>
      <c r="K2450" t="str">
        <f>""</f>
        <v/>
      </c>
      <c r="M2450" t="s">
        <v>68</v>
      </c>
      <c r="N2450" t="str">
        <f>"FOR"</f>
        <v>FOR</v>
      </c>
      <c r="O2450" t="s">
        <v>69</v>
      </c>
      <c r="P2450" t="s">
        <v>75</v>
      </c>
      <c r="Q2450">
        <v>2016</v>
      </c>
      <c r="R2450" s="4">
        <v>42710</v>
      </c>
      <c r="S2450" s="2">
        <v>42725</v>
      </c>
      <c r="T2450" s="2">
        <v>42720</v>
      </c>
      <c r="U2450" s="4">
        <v>42780</v>
      </c>
      <c r="V2450" t="s">
        <v>71</v>
      </c>
      <c r="W2450" t="str">
        <f>"           161008138"</f>
        <v xml:space="preserve">           161008138</v>
      </c>
      <c r="X2450" s="1">
        <v>1346.4</v>
      </c>
      <c r="Y2450">
        <v>0</v>
      </c>
      <c r="Z2450" s="5">
        <v>1224</v>
      </c>
      <c r="AA2450" s="3">
        <v>-6</v>
      </c>
      <c r="AB2450" s="5">
        <v>-7344</v>
      </c>
      <c r="AC2450" s="1">
        <v>1224</v>
      </c>
      <c r="AD2450">
        <v>-6</v>
      </c>
      <c r="AE2450" s="1">
        <v>-7344</v>
      </c>
      <c r="AF2450">
        <v>0</v>
      </c>
      <c r="AJ2450">
        <v>0</v>
      </c>
      <c r="AK2450">
        <v>0</v>
      </c>
      <c r="AL2450">
        <v>0</v>
      </c>
      <c r="AM2450">
        <v>0</v>
      </c>
      <c r="AN2450">
        <v>0</v>
      </c>
      <c r="AO2450">
        <v>0</v>
      </c>
      <c r="AP2450" s="2">
        <v>42831</v>
      </c>
      <c r="AQ2450" t="s">
        <v>72</v>
      </c>
      <c r="AR2450" t="s">
        <v>72</v>
      </c>
      <c r="AS2450">
        <v>330</v>
      </c>
      <c r="AT2450" s="4">
        <v>42774</v>
      </c>
      <c r="AV2450">
        <v>330</v>
      </c>
      <c r="AW2450" s="4">
        <v>42774</v>
      </c>
      <c r="BD2450">
        <v>0</v>
      </c>
      <c r="BN2450" t="s">
        <v>74</v>
      </c>
    </row>
    <row r="2451" spans="1:66">
      <c r="A2451">
        <v>106753</v>
      </c>
      <c r="B2451" t="s">
        <v>522</v>
      </c>
      <c r="C2451" s="1">
        <v>43500101</v>
      </c>
      <c r="D2451" t="s">
        <v>98</v>
      </c>
      <c r="H2451" t="str">
        <f>""</f>
        <v/>
      </c>
      <c r="I2451" t="str">
        <f>""</f>
        <v/>
      </c>
      <c r="J2451" t="s">
        <v>523</v>
      </c>
      <c r="K2451" t="str">
        <f>"GB987024689"</f>
        <v>GB987024689</v>
      </c>
      <c r="M2451" t="s">
        <v>68</v>
      </c>
      <c r="N2451" t="str">
        <f>"ALTFIN"</f>
        <v>ALTFIN</v>
      </c>
      <c r="O2451" t="s">
        <v>102</v>
      </c>
      <c r="P2451" t="s">
        <v>524</v>
      </c>
      <c r="Q2451">
        <v>2017</v>
      </c>
      <c r="R2451" s="4">
        <v>42773</v>
      </c>
      <c r="S2451" s="2">
        <v>42773</v>
      </c>
      <c r="T2451" s="2">
        <v>42773</v>
      </c>
      <c r="U2451" s="4">
        <v>42833</v>
      </c>
      <c r="V2451" t="s">
        <v>71</v>
      </c>
      <c r="W2451" t="str">
        <f>"                  20"</f>
        <v xml:space="preserve">                  20</v>
      </c>
      <c r="X2451">
        <v>0</v>
      </c>
      <c r="Y2451" s="1">
        <v>230552.47</v>
      </c>
      <c r="Z2451" s="5">
        <v>230552.47</v>
      </c>
      <c r="AA2451" s="3">
        <v>-60</v>
      </c>
      <c r="AB2451" s="5">
        <v>-13833148.199999999</v>
      </c>
      <c r="AC2451" s="1">
        <v>230552.47</v>
      </c>
      <c r="AD2451">
        <v>-60</v>
      </c>
      <c r="AE2451" s="1">
        <v>-13833148.199999999</v>
      </c>
      <c r="AF2451">
        <v>0</v>
      </c>
      <c r="AJ2451" s="1">
        <v>230552.47</v>
      </c>
      <c r="AK2451" s="1">
        <v>230552.47</v>
      </c>
      <c r="AL2451" s="1">
        <v>230552.47</v>
      </c>
      <c r="AM2451" s="1">
        <v>230552.47</v>
      </c>
      <c r="AN2451" s="1">
        <v>230552.47</v>
      </c>
      <c r="AO2451" s="1">
        <v>230552.47</v>
      </c>
      <c r="AP2451" s="2">
        <v>42831</v>
      </c>
      <c r="AQ2451" t="s">
        <v>72</v>
      </c>
      <c r="AR2451" t="s">
        <v>72</v>
      </c>
      <c r="AS2451">
        <v>312</v>
      </c>
      <c r="AT2451" s="4">
        <v>42773</v>
      </c>
      <c r="AV2451">
        <v>312</v>
      </c>
      <c r="AW2451" s="4">
        <v>42773</v>
      </c>
      <c r="BD2451">
        <v>0</v>
      </c>
      <c r="BN2451" t="s">
        <v>74</v>
      </c>
    </row>
    <row r="2452" spans="1:66">
      <c r="A2452">
        <v>106756</v>
      </c>
      <c r="B2452" t="s">
        <v>525</v>
      </c>
      <c r="C2452" s="1">
        <v>43500101</v>
      </c>
      <c r="D2452" t="s">
        <v>98</v>
      </c>
      <c r="H2452" t="str">
        <f>"FRNFRC80L01H501E"</f>
        <v>FRNFRC80L01H501E</v>
      </c>
      <c r="I2452" t="str">
        <f>"08696951006"</f>
        <v>08696951006</v>
      </c>
      <c r="K2452" t="str">
        <f>""</f>
        <v/>
      </c>
      <c r="M2452" t="s">
        <v>68</v>
      </c>
      <c r="N2452" t="str">
        <f>"ALT"</f>
        <v>ALT</v>
      </c>
      <c r="O2452" t="s">
        <v>99</v>
      </c>
      <c r="P2452" t="s">
        <v>75</v>
      </c>
      <c r="Q2452">
        <v>2017</v>
      </c>
      <c r="R2452" s="4">
        <v>42766</v>
      </c>
      <c r="S2452" s="2">
        <v>42767</v>
      </c>
      <c r="T2452" s="2">
        <v>42766</v>
      </c>
      <c r="U2452" s="4">
        <v>42826</v>
      </c>
      <c r="V2452" t="s">
        <v>71</v>
      </c>
      <c r="W2452" t="str">
        <f>"                7/PA"</f>
        <v xml:space="preserve">                7/PA</v>
      </c>
      <c r="X2452" s="1">
        <v>16887.849999999999</v>
      </c>
      <c r="Y2452" s="1">
        <v>-2662.02</v>
      </c>
      <c r="Z2452" s="5">
        <v>14225.83</v>
      </c>
      <c r="AA2452" s="3">
        <v>-51</v>
      </c>
      <c r="AB2452" s="5">
        <v>-725517.33</v>
      </c>
      <c r="AC2452" s="1">
        <v>14225.83</v>
      </c>
      <c r="AD2452">
        <v>-51</v>
      </c>
      <c r="AE2452" s="1">
        <v>-725517.33</v>
      </c>
      <c r="AF2452">
        <v>0</v>
      </c>
      <c r="AJ2452" s="1">
        <v>14225.83</v>
      </c>
      <c r="AK2452" s="1">
        <v>14225.83</v>
      </c>
      <c r="AL2452" s="1">
        <v>14225.83</v>
      </c>
      <c r="AM2452" s="1">
        <v>14225.83</v>
      </c>
      <c r="AN2452" s="1">
        <v>14225.83</v>
      </c>
      <c r="AO2452" s="1">
        <v>14225.83</v>
      </c>
      <c r="AP2452" s="2">
        <v>42831</v>
      </c>
      <c r="AQ2452" t="s">
        <v>72</v>
      </c>
      <c r="AR2452" t="s">
        <v>72</v>
      </c>
      <c r="AS2452">
        <v>364</v>
      </c>
      <c r="AT2452" s="4">
        <v>42775</v>
      </c>
      <c r="AV2452">
        <v>364</v>
      </c>
      <c r="AW2452" s="4">
        <v>42775</v>
      </c>
      <c r="BD2452">
        <v>0</v>
      </c>
      <c r="BN2452" t="s">
        <v>74</v>
      </c>
    </row>
    <row r="2453" spans="1:66">
      <c r="A2453">
        <v>106756</v>
      </c>
      <c r="B2453" t="s">
        <v>525</v>
      </c>
      <c r="C2453" s="1">
        <v>43500101</v>
      </c>
      <c r="D2453" t="s">
        <v>98</v>
      </c>
      <c r="H2453" t="str">
        <f>"FRNFRC80L01H501E"</f>
        <v>FRNFRC80L01H501E</v>
      </c>
      <c r="I2453" t="str">
        <f>"08696951006"</f>
        <v>08696951006</v>
      </c>
      <c r="K2453" t="str">
        <f>""</f>
        <v/>
      </c>
      <c r="M2453" t="s">
        <v>68</v>
      </c>
      <c r="N2453" t="str">
        <f>"ALT"</f>
        <v>ALT</v>
      </c>
      <c r="O2453" t="s">
        <v>99</v>
      </c>
      <c r="P2453" t="s">
        <v>75</v>
      </c>
      <c r="Q2453">
        <v>2017</v>
      </c>
      <c r="R2453" s="4">
        <v>42738</v>
      </c>
      <c r="S2453" s="2">
        <v>42748</v>
      </c>
      <c r="T2453" s="2">
        <v>42746</v>
      </c>
      <c r="U2453" s="4">
        <v>42806</v>
      </c>
      <c r="V2453" t="s">
        <v>71</v>
      </c>
      <c r="W2453" t="str">
        <f>"           2/PA/2017"</f>
        <v xml:space="preserve">           2/PA/2017</v>
      </c>
      <c r="X2453" s="1">
        <v>4377.3599999999997</v>
      </c>
      <c r="Y2453">
        <v>-690</v>
      </c>
      <c r="Z2453" s="5">
        <v>3687.36</v>
      </c>
      <c r="AA2453" s="3">
        <v>-31</v>
      </c>
      <c r="AB2453" s="5">
        <v>-114308.16</v>
      </c>
      <c r="AC2453" s="1">
        <v>3687.36</v>
      </c>
      <c r="AD2453">
        <v>-31</v>
      </c>
      <c r="AE2453" s="1">
        <v>-114308.16</v>
      </c>
      <c r="AF2453">
        <v>0</v>
      </c>
      <c r="AJ2453" s="1">
        <v>3687.36</v>
      </c>
      <c r="AK2453" s="1">
        <v>3687.36</v>
      </c>
      <c r="AL2453" s="1">
        <v>3687.36</v>
      </c>
      <c r="AM2453" s="1">
        <v>3687.36</v>
      </c>
      <c r="AN2453" s="1">
        <v>3687.36</v>
      </c>
      <c r="AO2453" s="1">
        <v>3687.36</v>
      </c>
      <c r="AP2453" s="2">
        <v>42831</v>
      </c>
      <c r="AQ2453" t="s">
        <v>72</v>
      </c>
      <c r="AR2453" t="s">
        <v>72</v>
      </c>
      <c r="AS2453">
        <v>364</v>
      </c>
      <c r="AT2453" s="4">
        <v>42775</v>
      </c>
      <c r="AV2453">
        <v>364</v>
      </c>
      <c r="AW2453" s="4">
        <v>42775</v>
      </c>
      <c r="BD2453">
        <v>0</v>
      </c>
      <c r="BN2453" t="s">
        <v>74</v>
      </c>
    </row>
    <row r="2454" spans="1:66" hidden="1">
      <c r="A2454">
        <v>106764</v>
      </c>
      <c r="B2454" t="s">
        <v>526</v>
      </c>
      <c r="C2454" s="1">
        <v>43500101</v>
      </c>
      <c r="D2454" t="s">
        <v>98</v>
      </c>
      <c r="H2454" t="str">
        <f>"PTRDNC59P70H834W"</f>
        <v>PTRDNC59P70H834W</v>
      </c>
      <c r="I2454" t="str">
        <f>""</f>
        <v/>
      </c>
      <c r="K2454" t="str">
        <f>""</f>
        <v/>
      </c>
      <c r="M2454" t="s">
        <v>68</v>
      </c>
      <c r="N2454" t="str">
        <f>"ALT"</f>
        <v>ALT</v>
      </c>
      <c r="O2454" t="s">
        <v>99</v>
      </c>
      <c r="P2454" t="s">
        <v>82</v>
      </c>
      <c r="Q2454">
        <v>2017</v>
      </c>
      <c r="R2454" s="4">
        <v>42755</v>
      </c>
      <c r="S2454" s="2">
        <v>42755</v>
      </c>
      <c r="T2454" s="2">
        <v>42755</v>
      </c>
      <c r="U2454" s="4">
        <v>42815</v>
      </c>
      <c r="V2454" t="s">
        <v>71</v>
      </c>
      <c r="W2454" t="str">
        <f>"                0120"</f>
        <v xml:space="preserve">                0120</v>
      </c>
      <c r="X2454">
        <v>0</v>
      </c>
      <c r="Y2454">
        <v>368.12</v>
      </c>
      <c r="Z2454" s="3">
        <v>368.12</v>
      </c>
      <c r="AA2454" s="3">
        <v>-57</v>
      </c>
      <c r="AB2454" s="5">
        <v>-20982.84</v>
      </c>
      <c r="AC2454">
        <v>368.12</v>
      </c>
      <c r="AD2454">
        <v>-57</v>
      </c>
      <c r="AE2454" s="1">
        <v>-20982.84</v>
      </c>
      <c r="AF2454">
        <v>0</v>
      </c>
      <c r="AJ2454">
        <v>368.12</v>
      </c>
      <c r="AK2454">
        <v>368.12</v>
      </c>
      <c r="AL2454">
        <v>368.12</v>
      </c>
      <c r="AM2454">
        <v>368.12</v>
      </c>
      <c r="AN2454">
        <v>368.12</v>
      </c>
      <c r="AO2454">
        <v>368.12</v>
      </c>
      <c r="AP2454" s="2">
        <v>42831</v>
      </c>
      <c r="AQ2454" t="s">
        <v>72</v>
      </c>
      <c r="AR2454" t="s">
        <v>72</v>
      </c>
      <c r="AS2454">
        <v>85</v>
      </c>
      <c r="AT2454" s="4">
        <v>42758</v>
      </c>
      <c r="AV2454">
        <v>85</v>
      </c>
      <c r="AW2454" s="4">
        <v>42758</v>
      </c>
      <c r="BD2454">
        <v>0</v>
      </c>
      <c r="BN2454" t="s">
        <v>74</v>
      </c>
    </row>
    <row r="2455" spans="1:66" hidden="1">
      <c r="A2455">
        <v>106764</v>
      </c>
      <c r="B2455" t="s">
        <v>526</v>
      </c>
      <c r="C2455" s="1">
        <v>43500101</v>
      </c>
      <c r="D2455" t="s">
        <v>98</v>
      </c>
      <c r="H2455" t="str">
        <f>"PTRDNC59P70H834W"</f>
        <v>PTRDNC59P70H834W</v>
      </c>
      <c r="I2455" t="str">
        <f>""</f>
        <v/>
      </c>
      <c r="K2455" t="str">
        <f>""</f>
        <v/>
      </c>
      <c r="M2455" t="s">
        <v>68</v>
      </c>
      <c r="N2455" t="str">
        <f>"ALT"</f>
        <v>ALT</v>
      </c>
      <c r="O2455" t="s">
        <v>99</v>
      </c>
      <c r="P2455" t="s">
        <v>83</v>
      </c>
      <c r="Q2455">
        <v>2017</v>
      </c>
      <c r="R2455" s="4">
        <v>42786</v>
      </c>
      <c r="S2455" s="2">
        <v>42787</v>
      </c>
      <c r="T2455" s="2">
        <v>42787</v>
      </c>
      <c r="U2455" s="4">
        <v>42847</v>
      </c>
      <c r="V2455" t="s">
        <v>71</v>
      </c>
      <c r="W2455" t="str">
        <f>"                0220"</f>
        <v xml:space="preserve">                0220</v>
      </c>
      <c r="X2455">
        <v>0</v>
      </c>
      <c r="Y2455">
        <v>368.12</v>
      </c>
      <c r="Z2455" s="3">
        <v>368.12</v>
      </c>
      <c r="AA2455" s="3">
        <v>-60</v>
      </c>
      <c r="AB2455" s="5">
        <v>-22087.200000000001</v>
      </c>
      <c r="AC2455">
        <v>368.12</v>
      </c>
      <c r="AD2455">
        <v>-60</v>
      </c>
      <c r="AE2455" s="1">
        <v>-22087.200000000001</v>
      </c>
      <c r="AF2455">
        <v>0</v>
      </c>
      <c r="AJ2455">
        <v>368.12</v>
      </c>
      <c r="AK2455">
        <v>368.12</v>
      </c>
      <c r="AL2455">
        <v>368.12</v>
      </c>
      <c r="AM2455">
        <v>368.12</v>
      </c>
      <c r="AN2455">
        <v>368.12</v>
      </c>
      <c r="AO2455">
        <v>368.12</v>
      </c>
      <c r="AP2455" s="2">
        <v>42831</v>
      </c>
      <c r="AQ2455" t="s">
        <v>72</v>
      </c>
      <c r="AR2455" t="s">
        <v>72</v>
      </c>
      <c r="AS2455">
        <v>565</v>
      </c>
      <c r="AT2455" s="4">
        <v>42787</v>
      </c>
      <c r="AV2455">
        <v>565</v>
      </c>
      <c r="AW2455" s="4">
        <v>42787</v>
      </c>
      <c r="BD2455">
        <v>0</v>
      </c>
      <c r="BN2455" t="s">
        <v>74</v>
      </c>
    </row>
    <row r="2456" spans="1:66" hidden="1">
      <c r="A2456">
        <v>106764</v>
      </c>
      <c r="B2456" t="s">
        <v>526</v>
      </c>
      <c r="C2456" s="1">
        <v>43500101</v>
      </c>
      <c r="D2456" t="s">
        <v>98</v>
      </c>
      <c r="H2456" t="str">
        <f>"PTRDNC59P70H834W"</f>
        <v>PTRDNC59P70H834W</v>
      </c>
      <c r="I2456" t="str">
        <f>""</f>
        <v/>
      </c>
      <c r="K2456" t="str">
        <f>""</f>
        <v/>
      </c>
      <c r="M2456" t="s">
        <v>68</v>
      </c>
      <c r="N2456" t="str">
        <f>"ALT"</f>
        <v>ALT</v>
      </c>
      <c r="O2456" t="s">
        <v>99</v>
      </c>
      <c r="P2456" t="s">
        <v>84</v>
      </c>
      <c r="Q2456">
        <v>2017</v>
      </c>
      <c r="R2456" s="4">
        <v>42815</v>
      </c>
      <c r="S2456" s="2">
        <v>42815</v>
      </c>
      <c r="T2456" s="2">
        <v>42815</v>
      </c>
      <c r="U2456" s="4">
        <v>42875</v>
      </c>
      <c r="V2456" t="s">
        <v>71</v>
      </c>
      <c r="W2456" t="str">
        <f>"                0321"</f>
        <v xml:space="preserve">                0321</v>
      </c>
      <c r="X2456">
        <v>0</v>
      </c>
      <c r="Y2456">
        <v>368.12</v>
      </c>
      <c r="Z2456" s="3">
        <v>368.12</v>
      </c>
      <c r="AA2456" s="3">
        <v>-60</v>
      </c>
      <c r="AB2456" s="5">
        <v>-22087.200000000001</v>
      </c>
      <c r="AC2456">
        <v>368.12</v>
      </c>
      <c r="AD2456">
        <v>-60</v>
      </c>
      <c r="AE2456" s="1">
        <v>-22087.200000000001</v>
      </c>
      <c r="AF2456">
        <v>0</v>
      </c>
      <c r="AJ2456">
        <v>368.12</v>
      </c>
      <c r="AK2456">
        <v>368.12</v>
      </c>
      <c r="AL2456">
        <v>368.12</v>
      </c>
      <c r="AM2456">
        <v>368.12</v>
      </c>
      <c r="AN2456">
        <v>368.12</v>
      </c>
      <c r="AO2456">
        <v>368.12</v>
      </c>
      <c r="AP2456" s="2">
        <v>42831</v>
      </c>
      <c r="AQ2456" t="s">
        <v>72</v>
      </c>
      <c r="AR2456" t="s">
        <v>72</v>
      </c>
      <c r="AS2456">
        <v>862</v>
      </c>
      <c r="AT2456" s="4">
        <v>42815</v>
      </c>
      <c r="AV2456">
        <v>862</v>
      </c>
      <c r="AW2456" s="4">
        <v>42815</v>
      </c>
      <c r="BD2456">
        <v>0</v>
      </c>
      <c r="BN2456" t="s">
        <v>74</v>
      </c>
    </row>
    <row r="2457" spans="1:66">
      <c r="A2457">
        <v>106767</v>
      </c>
      <c r="B2457" t="s">
        <v>527</v>
      </c>
      <c r="C2457" s="1">
        <v>43300101</v>
      </c>
      <c r="D2457" t="s">
        <v>67</v>
      </c>
      <c r="H2457" t="str">
        <f>"02194160962"</f>
        <v>02194160962</v>
      </c>
      <c r="I2457" t="str">
        <f>"13110730150"</f>
        <v>13110730150</v>
      </c>
      <c r="K2457" t="str">
        <f>""</f>
        <v/>
      </c>
      <c r="M2457" t="s">
        <v>68</v>
      </c>
      <c r="N2457" t="str">
        <f>"FOR"</f>
        <v>FOR</v>
      </c>
      <c r="O2457" t="s">
        <v>69</v>
      </c>
      <c r="P2457" t="s">
        <v>75</v>
      </c>
      <c r="Q2457">
        <v>2016</v>
      </c>
      <c r="R2457" s="4">
        <v>42657</v>
      </c>
      <c r="S2457" s="2">
        <v>42670</v>
      </c>
      <c r="T2457" s="2">
        <v>42662</v>
      </c>
      <c r="U2457" s="4">
        <v>42722</v>
      </c>
      <c r="V2457" t="s">
        <v>71</v>
      </c>
      <c r="W2457" t="str">
        <f>"                2849"</f>
        <v xml:space="preserve">                2849</v>
      </c>
      <c r="X2457">
        <v>944.55</v>
      </c>
      <c r="Y2457">
        <v>0</v>
      </c>
      <c r="Z2457" s="5">
        <v>774.22</v>
      </c>
      <c r="AA2457" s="3">
        <v>46</v>
      </c>
      <c r="AB2457" s="5">
        <v>35614.120000000003</v>
      </c>
      <c r="AC2457">
        <v>774.22</v>
      </c>
      <c r="AD2457">
        <v>46</v>
      </c>
      <c r="AE2457" s="1">
        <v>35614.120000000003</v>
      </c>
      <c r="AF2457">
        <v>0</v>
      </c>
      <c r="AJ2457">
        <v>0</v>
      </c>
      <c r="AK2457">
        <v>0</v>
      </c>
      <c r="AL2457">
        <v>0</v>
      </c>
      <c r="AM2457">
        <v>0</v>
      </c>
      <c r="AN2457">
        <v>0</v>
      </c>
      <c r="AO2457">
        <v>0</v>
      </c>
      <c r="AP2457" s="2">
        <v>42831</v>
      </c>
      <c r="AQ2457" t="s">
        <v>72</v>
      </c>
      <c r="AR2457" t="s">
        <v>72</v>
      </c>
      <c r="AS2457">
        <v>230</v>
      </c>
      <c r="AT2457" s="4">
        <v>42768</v>
      </c>
      <c r="AU2457" t="s">
        <v>73</v>
      </c>
      <c r="AV2457">
        <v>230</v>
      </c>
      <c r="AW2457" s="4">
        <v>42768</v>
      </c>
      <c r="BD2457">
        <v>0</v>
      </c>
      <c r="BN2457" t="s">
        <v>74</v>
      </c>
    </row>
    <row r="2458" spans="1:66">
      <c r="A2458">
        <v>106770</v>
      </c>
      <c r="B2458" t="s">
        <v>528</v>
      </c>
      <c r="C2458" s="1">
        <v>43500101</v>
      </c>
      <c r="D2458" t="s">
        <v>98</v>
      </c>
      <c r="H2458" t="str">
        <f>"DRAMCL76B23A783N"</f>
        <v>DRAMCL76B23A783N</v>
      </c>
      <c r="I2458" t="str">
        <f>"03737290753"</f>
        <v>03737290753</v>
      </c>
      <c r="K2458" t="str">
        <f>""</f>
        <v/>
      </c>
      <c r="M2458" t="s">
        <v>68</v>
      </c>
      <c r="N2458" t="str">
        <f>"ALTPRO"</f>
        <v>ALTPRO</v>
      </c>
      <c r="O2458" t="s">
        <v>116</v>
      </c>
      <c r="P2458" t="s">
        <v>75</v>
      </c>
      <c r="Q2458">
        <v>2016</v>
      </c>
      <c r="R2458" s="4">
        <v>42613</v>
      </c>
      <c r="S2458" s="2">
        <v>42633</v>
      </c>
      <c r="T2458" s="2">
        <v>42627</v>
      </c>
      <c r="U2458" s="4">
        <v>42687</v>
      </c>
      <c r="V2458" t="s">
        <v>71</v>
      </c>
      <c r="W2458" t="str">
        <f>"          FTE01/2016"</f>
        <v xml:space="preserve">          FTE01/2016</v>
      </c>
      <c r="X2458" s="1">
        <v>2346.0100000000002</v>
      </c>
      <c r="Y2458">
        <v>-369.8</v>
      </c>
      <c r="Z2458" s="5">
        <v>1976.21</v>
      </c>
      <c r="AA2458" s="3">
        <v>92</v>
      </c>
      <c r="AB2458" s="5">
        <v>181811.32</v>
      </c>
      <c r="AC2458" s="1">
        <v>1976.21</v>
      </c>
      <c r="AD2458">
        <v>92</v>
      </c>
      <c r="AE2458" s="1">
        <v>181811.32</v>
      </c>
      <c r="AF2458">
        <v>0</v>
      </c>
      <c r="AJ2458">
        <v>0</v>
      </c>
      <c r="AK2458">
        <v>0</v>
      </c>
      <c r="AL2458">
        <v>0</v>
      </c>
      <c r="AM2458">
        <v>0</v>
      </c>
      <c r="AN2458">
        <v>0</v>
      </c>
      <c r="AO2458">
        <v>0</v>
      </c>
      <c r="AP2458" s="2">
        <v>42831</v>
      </c>
      <c r="AQ2458" t="s">
        <v>72</v>
      </c>
      <c r="AR2458" t="s">
        <v>72</v>
      </c>
      <c r="AS2458">
        <v>408</v>
      </c>
      <c r="AT2458" s="4">
        <v>42779</v>
      </c>
      <c r="AU2458" t="s">
        <v>73</v>
      </c>
      <c r="AV2458">
        <v>408</v>
      </c>
      <c r="AW2458" s="4">
        <v>42779</v>
      </c>
      <c r="BD2458">
        <v>0</v>
      </c>
      <c r="BN2458" t="s">
        <v>74</v>
      </c>
    </row>
    <row r="2459" spans="1:66">
      <c r="A2459">
        <v>106775</v>
      </c>
      <c r="B2459" t="s">
        <v>529</v>
      </c>
      <c r="C2459" s="1">
        <v>43300101</v>
      </c>
      <c r="D2459" t="s">
        <v>67</v>
      </c>
      <c r="H2459" t="str">
        <f>"04974910962"</f>
        <v>04974910962</v>
      </c>
      <c r="I2459" t="str">
        <f>"04974910962"</f>
        <v>04974910962</v>
      </c>
      <c r="K2459" t="str">
        <f>""</f>
        <v/>
      </c>
      <c r="M2459" t="s">
        <v>68</v>
      </c>
      <c r="N2459" t="str">
        <f>"FOR"</f>
        <v>FOR</v>
      </c>
      <c r="O2459" t="s">
        <v>69</v>
      </c>
      <c r="P2459" t="s">
        <v>75</v>
      </c>
      <c r="Q2459">
        <v>2016</v>
      </c>
      <c r="R2459" s="4">
        <v>42657</v>
      </c>
      <c r="S2459" s="2">
        <v>42684</v>
      </c>
      <c r="T2459" s="2">
        <v>42684</v>
      </c>
      <c r="U2459" s="4">
        <v>42744</v>
      </c>
      <c r="V2459" t="s">
        <v>71</v>
      </c>
      <c r="W2459" t="str">
        <f>"               11080"</f>
        <v xml:space="preserve">               11080</v>
      </c>
      <c r="X2459">
        <v>897.6</v>
      </c>
      <c r="Y2459">
        <v>0</v>
      </c>
      <c r="Z2459" s="5">
        <v>816</v>
      </c>
      <c r="AA2459" s="3">
        <v>24</v>
      </c>
      <c r="AB2459" s="5">
        <v>19584</v>
      </c>
      <c r="AC2459">
        <v>816</v>
      </c>
      <c r="AD2459">
        <v>24</v>
      </c>
      <c r="AE2459" s="1">
        <v>19584</v>
      </c>
      <c r="AF2459">
        <v>0</v>
      </c>
      <c r="AJ2459">
        <v>0</v>
      </c>
      <c r="AK2459">
        <v>0</v>
      </c>
      <c r="AL2459">
        <v>0</v>
      </c>
      <c r="AM2459">
        <v>0</v>
      </c>
      <c r="AN2459">
        <v>0</v>
      </c>
      <c r="AO2459">
        <v>0</v>
      </c>
      <c r="AP2459" s="2">
        <v>42831</v>
      </c>
      <c r="AQ2459" t="s">
        <v>72</v>
      </c>
      <c r="AR2459" t="s">
        <v>72</v>
      </c>
      <c r="AS2459">
        <v>266</v>
      </c>
      <c r="AT2459" s="4">
        <v>42768</v>
      </c>
      <c r="AU2459" t="s">
        <v>73</v>
      </c>
      <c r="AV2459">
        <v>266</v>
      </c>
      <c r="AW2459" s="4">
        <v>42768</v>
      </c>
      <c r="BD2459">
        <v>0</v>
      </c>
      <c r="BN2459" t="s">
        <v>74</v>
      </c>
    </row>
    <row r="2460" spans="1:66">
      <c r="A2460">
        <v>106788</v>
      </c>
      <c r="B2460" t="s">
        <v>530</v>
      </c>
      <c r="C2460" s="1">
        <v>43500101</v>
      </c>
      <c r="D2460" t="s">
        <v>98</v>
      </c>
      <c r="H2460" t="str">
        <f>"TSTNTN63D17Z112E"</f>
        <v>TSTNTN63D17Z112E</v>
      </c>
      <c r="I2460" t="str">
        <f>""</f>
        <v/>
      </c>
      <c r="K2460" t="str">
        <f>""</f>
        <v/>
      </c>
      <c r="M2460" t="s">
        <v>68</v>
      </c>
      <c r="N2460" t="str">
        <f>"ALT"</f>
        <v>ALT</v>
      </c>
      <c r="O2460" t="s">
        <v>99</v>
      </c>
      <c r="P2460" t="s">
        <v>531</v>
      </c>
      <c r="Q2460">
        <v>2017</v>
      </c>
      <c r="R2460" s="4">
        <v>42767</v>
      </c>
      <c r="S2460" s="2">
        <v>42767</v>
      </c>
      <c r="T2460" s="2">
        <v>42767</v>
      </c>
      <c r="U2460" s="4">
        <v>42767</v>
      </c>
      <c r="V2460" t="s">
        <v>71</v>
      </c>
      <c r="W2460" t="str">
        <f>"                  18"</f>
        <v xml:space="preserve">                  18</v>
      </c>
      <c r="X2460">
        <v>0</v>
      </c>
      <c r="Y2460">
        <v>300</v>
      </c>
      <c r="Z2460" s="5">
        <v>300</v>
      </c>
      <c r="AB2460" s="3">
        <v>0</v>
      </c>
      <c r="AC2460">
        <v>300</v>
      </c>
      <c r="AE2460">
        <v>0</v>
      </c>
      <c r="AF2460">
        <v>0</v>
      </c>
      <c r="AJ2460">
        <v>300</v>
      </c>
      <c r="AK2460">
        <v>300</v>
      </c>
      <c r="AL2460">
        <v>300</v>
      </c>
      <c r="AM2460">
        <v>300</v>
      </c>
      <c r="AN2460">
        <v>300</v>
      </c>
      <c r="AO2460">
        <v>300</v>
      </c>
      <c r="AP2460" s="2">
        <v>42831</v>
      </c>
      <c r="AQ2460" t="s">
        <v>72</v>
      </c>
      <c r="AR2460" t="s">
        <v>72</v>
      </c>
      <c r="AS2460">
        <v>196</v>
      </c>
      <c r="AT2460" s="4">
        <v>42767</v>
      </c>
      <c r="AV2460">
        <v>196</v>
      </c>
      <c r="AW2460" s="4">
        <v>42767</v>
      </c>
      <c r="BD2460">
        <v>0</v>
      </c>
      <c r="BN2460" t="s">
        <v>74</v>
      </c>
    </row>
    <row r="2461" spans="1:66">
      <c r="A2461">
        <v>106794</v>
      </c>
      <c r="B2461" t="s">
        <v>532</v>
      </c>
      <c r="C2461" s="1">
        <v>43300101</v>
      </c>
      <c r="D2461" t="s">
        <v>67</v>
      </c>
      <c r="H2461" t="str">
        <f>"05095601000"</f>
        <v>05095601000</v>
      </c>
      <c r="I2461" t="str">
        <f>"05095601000"</f>
        <v>05095601000</v>
      </c>
      <c r="K2461" t="str">
        <f>""</f>
        <v/>
      </c>
      <c r="M2461" t="s">
        <v>68</v>
      </c>
      <c r="N2461" t="str">
        <f>"FOR"</f>
        <v>FOR</v>
      </c>
      <c r="O2461" t="s">
        <v>69</v>
      </c>
      <c r="P2461" t="s">
        <v>75</v>
      </c>
      <c r="Q2461">
        <v>2016</v>
      </c>
      <c r="R2461" s="4">
        <v>42669</v>
      </c>
      <c r="S2461" s="2">
        <v>42705</v>
      </c>
      <c r="T2461" s="2">
        <v>42697</v>
      </c>
      <c r="U2461" s="4">
        <v>42757</v>
      </c>
      <c r="V2461" t="s">
        <v>71</v>
      </c>
      <c r="W2461" t="str">
        <f>"              01/571"</f>
        <v xml:space="preserve">              01/571</v>
      </c>
      <c r="X2461" s="1">
        <v>1085.8</v>
      </c>
      <c r="Y2461">
        <v>0</v>
      </c>
      <c r="Z2461" s="5">
        <v>890</v>
      </c>
      <c r="AA2461" s="3">
        <v>11</v>
      </c>
      <c r="AB2461" s="5">
        <v>9790</v>
      </c>
      <c r="AC2461">
        <v>890</v>
      </c>
      <c r="AD2461">
        <v>11</v>
      </c>
      <c r="AE2461" s="1">
        <v>9790</v>
      </c>
      <c r="AF2461">
        <v>0</v>
      </c>
      <c r="AJ2461">
        <v>0</v>
      </c>
      <c r="AK2461">
        <v>0</v>
      </c>
      <c r="AL2461">
        <v>0</v>
      </c>
      <c r="AM2461">
        <v>0</v>
      </c>
      <c r="AN2461">
        <v>0</v>
      </c>
      <c r="AO2461">
        <v>0</v>
      </c>
      <c r="AP2461" s="2">
        <v>42831</v>
      </c>
      <c r="AQ2461" t="s">
        <v>72</v>
      </c>
      <c r="AR2461" t="s">
        <v>72</v>
      </c>
      <c r="AS2461">
        <v>245</v>
      </c>
      <c r="AT2461" s="4">
        <v>42768</v>
      </c>
      <c r="AU2461" t="s">
        <v>73</v>
      </c>
      <c r="AV2461">
        <v>245</v>
      </c>
      <c r="AW2461" s="4">
        <v>42768</v>
      </c>
      <c r="BD2461">
        <v>0</v>
      </c>
      <c r="BN2461" t="s">
        <v>74</v>
      </c>
    </row>
    <row r="2462" spans="1:66">
      <c r="A2462">
        <v>106795</v>
      </c>
      <c r="B2462" t="s">
        <v>533</v>
      </c>
      <c r="C2462" s="1">
        <v>43500101</v>
      </c>
      <c r="D2462" t="s">
        <v>98</v>
      </c>
      <c r="H2462" t="str">
        <f>"07234060965"</f>
        <v>07234060965</v>
      </c>
      <c r="I2462" t="str">
        <f>"07234060965"</f>
        <v>07234060965</v>
      </c>
      <c r="K2462" t="str">
        <f>""</f>
        <v/>
      </c>
      <c r="M2462" t="s">
        <v>68</v>
      </c>
      <c r="N2462" t="str">
        <f>"ALTFIN"</f>
        <v>ALTFIN</v>
      </c>
      <c r="O2462" t="s">
        <v>102</v>
      </c>
      <c r="P2462" t="s">
        <v>534</v>
      </c>
      <c r="Q2462">
        <v>2017</v>
      </c>
      <c r="R2462" s="4">
        <v>42802</v>
      </c>
      <c r="S2462" s="2">
        <v>42802</v>
      </c>
      <c r="T2462" s="2">
        <v>42802</v>
      </c>
      <c r="U2462" s="4">
        <v>42862</v>
      </c>
      <c r="V2462" t="s">
        <v>71</v>
      </c>
      <c r="W2462" t="str">
        <f>"                  42"</f>
        <v xml:space="preserve">                  42</v>
      </c>
      <c r="X2462">
        <v>0</v>
      </c>
      <c r="Y2462" s="1">
        <v>1487782.5</v>
      </c>
      <c r="Z2462" s="5">
        <v>1487782.5</v>
      </c>
      <c r="AA2462" s="3">
        <v>-59</v>
      </c>
      <c r="AB2462" s="5">
        <v>-87779167.5</v>
      </c>
      <c r="AC2462" s="1">
        <v>1487782.5</v>
      </c>
      <c r="AD2462">
        <v>-59</v>
      </c>
      <c r="AE2462" s="1">
        <v>-87779167.5</v>
      </c>
      <c r="AF2462">
        <v>0</v>
      </c>
      <c r="AJ2462" s="1">
        <v>1487782.5</v>
      </c>
      <c r="AK2462" s="1">
        <v>1487782.5</v>
      </c>
      <c r="AL2462" s="1">
        <v>1487782.5</v>
      </c>
      <c r="AM2462" s="1">
        <v>1487782.5</v>
      </c>
      <c r="AN2462" s="1">
        <v>1487782.5</v>
      </c>
      <c r="AO2462" s="1">
        <v>1487782.5</v>
      </c>
      <c r="AP2462" s="2">
        <v>42831</v>
      </c>
      <c r="AQ2462" t="s">
        <v>72</v>
      </c>
      <c r="AR2462" t="s">
        <v>72</v>
      </c>
      <c r="AS2462">
        <v>749</v>
      </c>
      <c r="AT2462" s="4">
        <v>42803</v>
      </c>
      <c r="AV2462">
        <v>749</v>
      </c>
      <c r="AW2462" s="4">
        <v>42803</v>
      </c>
      <c r="BD2462">
        <v>0</v>
      </c>
      <c r="BN2462" t="s">
        <v>74</v>
      </c>
    </row>
    <row r="2463" spans="1:66">
      <c r="A2463">
        <v>106819</v>
      </c>
      <c r="B2463" t="s">
        <v>535</v>
      </c>
      <c r="C2463" s="1">
        <v>43201231</v>
      </c>
      <c r="D2463" t="s">
        <v>422</v>
      </c>
      <c r="H2463" t="str">
        <f>"13664791004"</f>
        <v>13664791004</v>
      </c>
      <c r="I2463" t="str">
        <f>"13664791004"</f>
        <v>13664791004</v>
      </c>
      <c r="K2463" t="str">
        <f>""</f>
        <v/>
      </c>
      <c r="M2463" t="s">
        <v>68</v>
      </c>
      <c r="N2463" t="str">
        <f>"AZI"</f>
        <v>AZI</v>
      </c>
      <c r="O2463" t="s">
        <v>423</v>
      </c>
      <c r="P2463" t="s">
        <v>536</v>
      </c>
      <c r="Q2463">
        <v>2016</v>
      </c>
      <c r="R2463" s="4">
        <v>42698</v>
      </c>
      <c r="S2463" s="2">
        <v>42698</v>
      </c>
      <c r="T2463" s="2">
        <v>42698</v>
      </c>
      <c r="U2463" s="4">
        <v>42758</v>
      </c>
      <c r="V2463" t="s">
        <v>71</v>
      </c>
      <c r="W2463" t="str">
        <f>"                 274"</f>
        <v xml:space="preserve">                 274</v>
      </c>
      <c r="X2463">
        <v>0</v>
      </c>
      <c r="Y2463">
        <v>258.23</v>
      </c>
      <c r="Z2463" s="5">
        <v>258.23</v>
      </c>
      <c r="AA2463" s="3">
        <v>10</v>
      </c>
      <c r="AB2463" s="5">
        <v>2582.3000000000002</v>
      </c>
      <c r="AC2463">
        <v>258.23</v>
      </c>
      <c r="AD2463">
        <v>10</v>
      </c>
      <c r="AE2463" s="1">
        <v>2582.3000000000002</v>
      </c>
      <c r="AF2463">
        <v>0</v>
      </c>
      <c r="AJ2463">
        <v>0</v>
      </c>
      <c r="AK2463">
        <v>0</v>
      </c>
      <c r="AL2463">
        <v>0</v>
      </c>
      <c r="AM2463">
        <v>0</v>
      </c>
      <c r="AN2463">
        <v>0</v>
      </c>
      <c r="AO2463">
        <v>0</v>
      </c>
      <c r="AP2463" s="2">
        <v>42831</v>
      </c>
      <c r="AQ2463" t="s">
        <v>72</v>
      </c>
      <c r="AR2463" t="s">
        <v>72</v>
      </c>
      <c r="AS2463">
        <v>275</v>
      </c>
      <c r="AT2463" s="4">
        <v>42768</v>
      </c>
      <c r="AU2463" t="s">
        <v>73</v>
      </c>
      <c r="AV2463">
        <v>275</v>
      </c>
      <c r="AW2463" s="4">
        <v>42768</v>
      </c>
      <c r="BD2463">
        <v>0</v>
      </c>
      <c r="BN2463" t="s">
        <v>74</v>
      </c>
    </row>
    <row r="2464" spans="1:66" hidden="1">
      <c r="A2464">
        <v>106820</v>
      </c>
      <c r="B2464" t="s">
        <v>537</v>
      </c>
      <c r="C2464" s="1">
        <v>43500101</v>
      </c>
      <c r="D2464" t="s">
        <v>98</v>
      </c>
      <c r="H2464" t="str">
        <f>"NRDGPP61L10C606S"</f>
        <v>NRDGPP61L10C606S</v>
      </c>
      <c r="I2464" t="str">
        <f>""</f>
        <v/>
      </c>
      <c r="K2464" t="str">
        <f>""</f>
        <v/>
      </c>
      <c r="M2464" t="s">
        <v>68</v>
      </c>
      <c r="N2464" t="str">
        <f>"ALT"</f>
        <v>ALT</v>
      </c>
      <c r="O2464" t="s">
        <v>99</v>
      </c>
      <c r="P2464" t="s">
        <v>82</v>
      </c>
      <c r="Q2464">
        <v>2017</v>
      </c>
      <c r="R2464" s="4">
        <v>42755</v>
      </c>
      <c r="S2464" s="2">
        <v>42755</v>
      </c>
      <c r="T2464" s="2">
        <v>42755</v>
      </c>
      <c r="U2464" s="4">
        <v>42815</v>
      </c>
      <c r="V2464" t="s">
        <v>71</v>
      </c>
      <c r="W2464" t="str">
        <f>"                0120"</f>
        <v xml:space="preserve">                0120</v>
      </c>
      <c r="X2464">
        <v>0</v>
      </c>
      <c r="Y2464">
        <v>154.94</v>
      </c>
      <c r="Z2464" s="3">
        <v>154.94</v>
      </c>
      <c r="AA2464" s="3">
        <v>-57</v>
      </c>
      <c r="AB2464" s="5">
        <v>-8831.58</v>
      </c>
      <c r="AC2464">
        <v>154.94</v>
      </c>
      <c r="AD2464">
        <v>-57</v>
      </c>
      <c r="AE2464" s="1">
        <v>-8831.58</v>
      </c>
      <c r="AF2464">
        <v>0</v>
      </c>
      <c r="AJ2464">
        <v>154.94</v>
      </c>
      <c r="AK2464">
        <v>154.94</v>
      </c>
      <c r="AL2464">
        <v>154.94</v>
      </c>
      <c r="AM2464">
        <v>154.94</v>
      </c>
      <c r="AN2464">
        <v>154.94</v>
      </c>
      <c r="AO2464">
        <v>154.94</v>
      </c>
      <c r="AP2464" s="2">
        <v>42831</v>
      </c>
      <c r="AQ2464" t="s">
        <v>72</v>
      </c>
      <c r="AR2464" t="s">
        <v>72</v>
      </c>
      <c r="AS2464">
        <v>86</v>
      </c>
      <c r="AT2464" s="4">
        <v>42758</v>
      </c>
      <c r="AV2464">
        <v>86</v>
      </c>
      <c r="AW2464" s="4">
        <v>42758</v>
      </c>
      <c r="BD2464">
        <v>0</v>
      </c>
      <c r="BN2464" t="s">
        <v>74</v>
      </c>
    </row>
    <row r="2465" spans="1:66" hidden="1">
      <c r="A2465">
        <v>106820</v>
      </c>
      <c r="B2465" t="s">
        <v>537</v>
      </c>
      <c r="C2465" s="1">
        <v>43500101</v>
      </c>
      <c r="D2465" t="s">
        <v>98</v>
      </c>
      <c r="H2465" t="str">
        <f>"NRDGPP61L10C606S"</f>
        <v>NRDGPP61L10C606S</v>
      </c>
      <c r="I2465" t="str">
        <f>""</f>
        <v/>
      </c>
      <c r="K2465" t="str">
        <f>""</f>
        <v/>
      </c>
      <c r="M2465" t="s">
        <v>68</v>
      </c>
      <c r="N2465" t="str">
        <f>"ALT"</f>
        <v>ALT</v>
      </c>
      <c r="O2465" t="s">
        <v>99</v>
      </c>
      <c r="P2465" t="s">
        <v>83</v>
      </c>
      <c r="Q2465">
        <v>2017</v>
      </c>
      <c r="R2465" s="4">
        <v>42786</v>
      </c>
      <c r="S2465" s="2">
        <v>42787</v>
      </c>
      <c r="T2465" s="2">
        <v>42787</v>
      </c>
      <c r="U2465" s="4">
        <v>42847</v>
      </c>
      <c r="V2465" t="s">
        <v>71</v>
      </c>
      <c r="W2465" t="str">
        <f>"                0220"</f>
        <v xml:space="preserve">                0220</v>
      </c>
      <c r="X2465">
        <v>0</v>
      </c>
      <c r="Y2465">
        <v>154.94</v>
      </c>
      <c r="Z2465" s="3">
        <v>154.94</v>
      </c>
      <c r="AA2465" s="3">
        <v>-60</v>
      </c>
      <c r="AB2465" s="5">
        <v>-9296.4</v>
      </c>
      <c r="AC2465">
        <v>154.94</v>
      </c>
      <c r="AD2465">
        <v>-60</v>
      </c>
      <c r="AE2465" s="1">
        <v>-9296.4</v>
      </c>
      <c r="AF2465">
        <v>0</v>
      </c>
      <c r="AJ2465">
        <v>154.94</v>
      </c>
      <c r="AK2465">
        <v>154.94</v>
      </c>
      <c r="AL2465">
        <v>154.94</v>
      </c>
      <c r="AM2465">
        <v>154.94</v>
      </c>
      <c r="AN2465">
        <v>154.94</v>
      </c>
      <c r="AO2465">
        <v>154.94</v>
      </c>
      <c r="AP2465" s="2">
        <v>42831</v>
      </c>
      <c r="AQ2465" t="s">
        <v>72</v>
      </c>
      <c r="AR2465" t="s">
        <v>72</v>
      </c>
      <c r="AS2465">
        <v>566</v>
      </c>
      <c r="AT2465" s="4">
        <v>42787</v>
      </c>
      <c r="AV2465">
        <v>566</v>
      </c>
      <c r="AW2465" s="4">
        <v>42787</v>
      </c>
      <c r="BD2465">
        <v>0</v>
      </c>
      <c r="BN2465" t="s">
        <v>74</v>
      </c>
    </row>
    <row r="2466" spans="1:66" hidden="1">
      <c r="A2466">
        <v>106820</v>
      </c>
      <c r="B2466" t="s">
        <v>537</v>
      </c>
      <c r="C2466" s="1">
        <v>43500101</v>
      </c>
      <c r="D2466" t="s">
        <v>98</v>
      </c>
      <c r="H2466" t="str">
        <f>"NRDGPP61L10C606S"</f>
        <v>NRDGPP61L10C606S</v>
      </c>
      <c r="I2466" t="str">
        <f>""</f>
        <v/>
      </c>
      <c r="K2466" t="str">
        <f>""</f>
        <v/>
      </c>
      <c r="M2466" t="s">
        <v>68</v>
      </c>
      <c r="N2466" t="str">
        <f>"ALT"</f>
        <v>ALT</v>
      </c>
      <c r="O2466" t="s">
        <v>99</v>
      </c>
      <c r="P2466" t="s">
        <v>84</v>
      </c>
      <c r="Q2466">
        <v>2017</v>
      </c>
      <c r="R2466" s="4">
        <v>42815</v>
      </c>
      <c r="S2466" s="2">
        <v>42815</v>
      </c>
      <c r="T2466" s="2">
        <v>42815</v>
      </c>
      <c r="U2466" s="4">
        <v>42875</v>
      </c>
      <c r="V2466" t="s">
        <v>71</v>
      </c>
      <c r="W2466" t="str">
        <f>"                0321"</f>
        <v xml:space="preserve">                0321</v>
      </c>
      <c r="X2466">
        <v>0</v>
      </c>
      <c r="Y2466">
        <v>154.94</v>
      </c>
      <c r="Z2466" s="3">
        <v>154.94</v>
      </c>
      <c r="AA2466" s="3">
        <v>-60</v>
      </c>
      <c r="AB2466" s="5">
        <v>-9296.4</v>
      </c>
      <c r="AC2466">
        <v>154.94</v>
      </c>
      <c r="AD2466">
        <v>-60</v>
      </c>
      <c r="AE2466" s="1">
        <v>-9296.4</v>
      </c>
      <c r="AF2466">
        <v>0</v>
      </c>
      <c r="AJ2466">
        <v>154.94</v>
      </c>
      <c r="AK2466">
        <v>154.94</v>
      </c>
      <c r="AL2466">
        <v>154.94</v>
      </c>
      <c r="AM2466">
        <v>154.94</v>
      </c>
      <c r="AN2466">
        <v>154.94</v>
      </c>
      <c r="AO2466">
        <v>154.94</v>
      </c>
      <c r="AP2466" s="2">
        <v>42831</v>
      </c>
      <c r="AQ2466" t="s">
        <v>72</v>
      </c>
      <c r="AR2466" t="s">
        <v>72</v>
      </c>
      <c r="AS2466">
        <v>863</v>
      </c>
      <c r="AT2466" s="4">
        <v>42815</v>
      </c>
      <c r="AV2466">
        <v>863</v>
      </c>
      <c r="AW2466" s="4">
        <v>42815</v>
      </c>
      <c r="BD2466">
        <v>0</v>
      </c>
      <c r="BN2466" t="s">
        <v>74</v>
      </c>
    </row>
    <row r="2467" spans="1:66">
      <c r="A2467">
        <v>106824</v>
      </c>
      <c r="B2467" t="s">
        <v>538</v>
      </c>
      <c r="C2467" s="1">
        <v>43300101</v>
      </c>
      <c r="D2467" t="s">
        <v>67</v>
      </c>
      <c r="H2467" t="str">
        <f>"01568640625"</f>
        <v>01568640625</v>
      </c>
      <c r="I2467" t="str">
        <f>"01568640625"</f>
        <v>01568640625</v>
      </c>
      <c r="K2467" t="str">
        <f>""</f>
        <v/>
      </c>
      <c r="M2467" t="s">
        <v>68</v>
      </c>
      <c r="N2467" t="str">
        <f>"FOR"</f>
        <v>FOR</v>
      </c>
      <c r="O2467" t="s">
        <v>69</v>
      </c>
      <c r="P2467" t="s">
        <v>75</v>
      </c>
      <c r="Q2467">
        <v>2016</v>
      </c>
      <c r="R2467" s="4">
        <v>42711</v>
      </c>
      <c r="S2467" s="2">
        <v>42711</v>
      </c>
      <c r="T2467" s="2">
        <v>42711</v>
      </c>
      <c r="U2467" s="4">
        <v>42771</v>
      </c>
      <c r="V2467" t="s">
        <v>71</v>
      </c>
      <c r="W2467" t="str">
        <f>"                 864"</f>
        <v xml:space="preserve">                 864</v>
      </c>
      <c r="X2467" s="1">
        <v>4880</v>
      </c>
      <c r="Y2467">
        <v>0</v>
      </c>
      <c r="Z2467" s="5">
        <v>4000</v>
      </c>
      <c r="AA2467" s="3">
        <v>4</v>
      </c>
      <c r="AB2467" s="5">
        <v>16000</v>
      </c>
      <c r="AC2467" s="1">
        <v>4000</v>
      </c>
      <c r="AD2467">
        <v>4</v>
      </c>
      <c r="AE2467" s="1">
        <v>16000</v>
      </c>
      <c r="AF2467">
        <v>0</v>
      </c>
      <c r="AJ2467">
        <v>0</v>
      </c>
      <c r="AK2467">
        <v>0</v>
      </c>
      <c r="AL2467">
        <v>0</v>
      </c>
      <c r="AM2467">
        <v>0</v>
      </c>
      <c r="AN2467">
        <v>0</v>
      </c>
      <c r="AO2467">
        <v>0</v>
      </c>
      <c r="AP2467" s="2">
        <v>42831</v>
      </c>
      <c r="AQ2467" t="s">
        <v>72</v>
      </c>
      <c r="AR2467" t="s">
        <v>72</v>
      </c>
      <c r="AS2467">
        <v>379</v>
      </c>
      <c r="AT2467" s="4">
        <v>42775</v>
      </c>
      <c r="AU2467" t="s">
        <v>73</v>
      </c>
      <c r="AV2467">
        <v>379</v>
      </c>
      <c r="AW2467" s="4">
        <v>42775</v>
      </c>
      <c r="BD2467">
        <v>0</v>
      </c>
      <c r="BN2467" t="s">
        <v>74</v>
      </c>
    </row>
    <row r="2468" spans="1:66">
      <c r="A2468">
        <v>106826</v>
      </c>
      <c r="B2468" t="s">
        <v>539</v>
      </c>
      <c r="C2468" s="1">
        <v>43500101</v>
      </c>
      <c r="D2468" t="s">
        <v>98</v>
      </c>
      <c r="H2468" t="str">
        <f>"DCNSRG57R29F839E"</f>
        <v>DCNSRG57R29F839E</v>
      </c>
      <c r="I2468" t="str">
        <f>""</f>
        <v/>
      </c>
      <c r="K2468" t="str">
        <f>""</f>
        <v/>
      </c>
      <c r="M2468" t="s">
        <v>68</v>
      </c>
      <c r="N2468" t="str">
        <f>"ALT"</f>
        <v>ALT</v>
      </c>
      <c r="O2468" t="s">
        <v>99</v>
      </c>
      <c r="P2468" t="s">
        <v>540</v>
      </c>
      <c r="Q2468">
        <v>2017</v>
      </c>
      <c r="R2468" s="4">
        <v>42781</v>
      </c>
      <c r="S2468" s="2">
        <v>42781</v>
      </c>
      <c r="T2468" s="2">
        <v>42781</v>
      </c>
      <c r="U2468" s="4">
        <v>42841</v>
      </c>
      <c r="V2468" t="s">
        <v>71</v>
      </c>
      <c r="W2468" t="str">
        <f>"                  21"</f>
        <v xml:space="preserve">                  21</v>
      </c>
      <c r="X2468">
        <v>0</v>
      </c>
      <c r="Y2468" s="1">
        <v>4999.91</v>
      </c>
      <c r="Z2468" s="5">
        <v>4999.91</v>
      </c>
      <c r="AA2468" s="3">
        <v>-60</v>
      </c>
      <c r="AB2468" s="5">
        <v>-299994.59999999998</v>
      </c>
      <c r="AC2468" s="1">
        <v>4999.91</v>
      </c>
      <c r="AD2468">
        <v>-60</v>
      </c>
      <c r="AE2468" s="1">
        <v>-299994.59999999998</v>
      </c>
      <c r="AF2468">
        <v>0</v>
      </c>
      <c r="AJ2468" s="1">
        <v>4999.91</v>
      </c>
      <c r="AK2468" s="1">
        <v>4999.91</v>
      </c>
      <c r="AL2468" s="1">
        <v>4999.91</v>
      </c>
      <c r="AM2468" s="1">
        <v>4999.91</v>
      </c>
      <c r="AN2468" s="1">
        <v>4999.91</v>
      </c>
      <c r="AO2468" s="1">
        <v>4999.91</v>
      </c>
      <c r="AP2468" s="2">
        <v>42831</v>
      </c>
      <c r="AQ2468" t="s">
        <v>72</v>
      </c>
      <c r="AR2468" t="s">
        <v>72</v>
      </c>
      <c r="AS2468">
        <v>460</v>
      </c>
      <c r="AT2468" s="4">
        <v>42781</v>
      </c>
      <c r="AV2468">
        <v>460</v>
      </c>
      <c r="AW2468" s="4">
        <v>42781</v>
      </c>
      <c r="BD2468">
        <v>0</v>
      </c>
      <c r="BN2468" t="s">
        <v>74</v>
      </c>
    </row>
    <row r="2469" spans="1:66">
      <c r="A2469">
        <v>106827</v>
      </c>
      <c r="B2469" t="s">
        <v>541</v>
      </c>
      <c r="C2469" s="1">
        <v>43300101</v>
      </c>
      <c r="D2469" t="s">
        <v>67</v>
      </c>
      <c r="H2469" t="str">
        <f>"01652690627"</f>
        <v>01652690627</v>
      </c>
      <c r="I2469" t="str">
        <f>"01652690627"</f>
        <v>01652690627</v>
      </c>
      <c r="K2469" t="str">
        <f>""</f>
        <v/>
      </c>
      <c r="M2469" t="s">
        <v>68</v>
      </c>
      <c r="N2469" t="str">
        <f>"FOR"</f>
        <v>FOR</v>
      </c>
      <c r="O2469" t="s">
        <v>69</v>
      </c>
      <c r="P2469" t="s">
        <v>75</v>
      </c>
      <c r="Q2469">
        <v>2016</v>
      </c>
      <c r="R2469" s="4">
        <v>42710</v>
      </c>
      <c r="S2469" s="2">
        <v>42713</v>
      </c>
      <c r="T2469" s="2">
        <v>42711</v>
      </c>
      <c r="U2469" s="4">
        <v>42771</v>
      </c>
      <c r="V2469" t="s">
        <v>71</v>
      </c>
      <c r="W2469" t="str">
        <f>"                70/A"</f>
        <v xml:space="preserve">                70/A</v>
      </c>
      <c r="X2469" s="1">
        <v>1220</v>
      </c>
      <c r="Y2469">
        <v>0</v>
      </c>
      <c r="Z2469" s="5">
        <v>1000</v>
      </c>
      <c r="AA2469" s="3">
        <v>1</v>
      </c>
      <c r="AB2469" s="5">
        <v>1000</v>
      </c>
      <c r="AC2469" s="1">
        <v>1000</v>
      </c>
      <c r="AD2469">
        <v>1</v>
      </c>
      <c r="AE2469" s="1">
        <v>1000</v>
      </c>
      <c r="AF2469">
        <v>220</v>
      </c>
      <c r="AJ2469">
        <v>0</v>
      </c>
      <c r="AK2469">
        <v>0</v>
      </c>
      <c r="AL2469">
        <v>0</v>
      </c>
      <c r="AM2469">
        <v>0</v>
      </c>
      <c r="AN2469">
        <v>0</v>
      </c>
      <c r="AO2469">
        <v>0</v>
      </c>
      <c r="AP2469" s="2">
        <v>42831</v>
      </c>
      <c r="AQ2469" t="s">
        <v>72</v>
      </c>
      <c r="AR2469" t="s">
        <v>72</v>
      </c>
      <c r="AS2469">
        <v>292</v>
      </c>
      <c r="AT2469" s="4">
        <v>42772</v>
      </c>
      <c r="AU2469" t="s">
        <v>73</v>
      </c>
      <c r="AV2469">
        <v>292</v>
      </c>
      <c r="AW2469" s="4">
        <v>42772</v>
      </c>
      <c r="AY2469">
        <v>220</v>
      </c>
      <c r="BD2469">
        <v>0</v>
      </c>
      <c r="BN2469" t="s">
        <v>74</v>
      </c>
    </row>
    <row r="2470" spans="1:66" hidden="1">
      <c r="A2470">
        <v>106833</v>
      </c>
      <c r="B2470" t="s">
        <v>542</v>
      </c>
      <c r="C2470" s="1">
        <v>43500101</v>
      </c>
      <c r="D2470" t="s">
        <v>98</v>
      </c>
      <c r="H2470" t="str">
        <f t="shared" ref="H2470:I2472" si="315">"13756881002"</f>
        <v>13756881002</v>
      </c>
      <c r="I2470" t="str">
        <f t="shared" si="315"/>
        <v>13756881002</v>
      </c>
      <c r="K2470" t="str">
        <f>""</f>
        <v/>
      </c>
      <c r="M2470" t="s">
        <v>68</v>
      </c>
      <c r="N2470" t="str">
        <f>"ALT"</f>
        <v>ALT</v>
      </c>
      <c r="O2470" t="s">
        <v>99</v>
      </c>
      <c r="P2470" t="s">
        <v>82</v>
      </c>
      <c r="Q2470">
        <v>2017</v>
      </c>
      <c r="R2470" s="4">
        <v>42755</v>
      </c>
      <c r="S2470" s="2">
        <v>42755</v>
      </c>
      <c r="T2470" s="2">
        <v>42755</v>
      </c>
      <c r="U2470" s="4">
        <v>42815</v>
      </c>
      <c r="V2470" t="s">
        <v>71</v>
      </c>
      <c r="W2470" t="str">
        <f>"                0120"</f>
        <v xml:space="preserve">                0120</v>
      </c>
      <c r="X2470">
        <v>0</v>
      </c>
      <c r="Y2470">
        <v>650</v>
      </c>
      <c r="Z2470" s="3">
        <v>650</v>
      </c>
      <c r="AA2470" s="3">
        <v>-57</v>
      </c>
      <c r="AB2470" s="5">
        <v>-37050</v>
      </c>
      <c r="AC2470">
        <v>650</v>
      </c>
      <c r="AD2470">
        <v>-57</v>
      </c>
      <c r="AE2470" s="1">
        <v>-37050</v>
      </c>
      <c r="AF2470">
        <v>0</v>
      </c>
      <c r="AJ2470">
        <v>650</v>
      </c>
      <c r="AK2470">
        <v>650</v>
      </c>
      <c r="AL2470">
        <v>650</v>
      </c>
      <c r="AM2470">
        <v>650</v>
      </c>
      <c r="AN2470">
        <v>650</v>
      </c>
      <c r="AO2470">
        <v>650</v>
      </c>
      <c r="AP2470" s="2">
        <v>42831</v>
      </c>
      <c r="AQ2470" t="s">
        <v>72</v>
      </c>
      <c r="AR2470" t="s">
        <v>72</v>
      </c>
      <c r="AS2470">
        <v>88</v>
      </c>
      <c r="AT2470" s="4">
        <v>42758</v>
      </c>
      <c r="AV2470">
        <v>88</v>
      </c>
      <c r="AW2470" s="4">
        <v>42758</v>
      </c>
      <c r="BD2470">
        <v>0</v>
      </c>
      <c r="BN2470" t="s">
        <v>74</v>
      </c>
    </row>
    <row r="2471" spans="1:66" hidden="1">
      <c r="A2471">
        <v>106833</v>
      </c>
      <c r="B2471" t="s">
        <v>542</v>
      </c>
      <c r="C2471" s="1">
        <v>43500101</v>
      </c>
      <c r="D2471" t="s">
        <v>98</v>
      </c>
      <c r="H2471" t="str">
        <f t="shared" si="315"/>
        <v>13756881002</v>
      </c>
      <c r="I2471" t="str">
        <f t="shared" si="315"/>
        <v>13756881002</v>
      </c>
      <c r="K2471" t="str">
        <f>""</f>
        <v/>
      </c>
      <c r="M2471" t="s">
        <v>68</v>
      </c>
      <c r="N2471" t="str">
        <f>"ALT"</f>
        <v>ALT</v>
      </c>
      <c r="O2471" t="s">
        <v>99</v>
      </c>
      <c r="P2471" t="s">
        <v>83</v>
      </c>
      <c r="Q2471">
        <v>2017</v>
      </c>
      <c r="R2471" s="4">
        <v>42786</v>
      </c>
      <c r="S2471" s="2">
        <v>42787</v>
      </c>
      <c r="T2471" s="2">
        <v>42787</v>
      </c>
      <c r="U2471" s="4">
        <v>42847</v>
      </c>
      <c r="V2471" t="s">
        <v>71</v>
      </c>
      <c r="W2471" t="str">
        <f>"                0220"</f>
        <v xml:space="preserve">                0220</v>
      </c>
      <c r="X2471">
        <v>0</v>
      </c>
      <c r="Y2471">
        <v>650</v>
      </c>
      <c r="Z2471" s="3">
        <v>650</v>
      </c>
      <c r="AA2471" s="3">
        <v>-60</v>
      </c>
      <c r="AB2471" s="5">
        <v>-39000</v>
      </c>
      <c r="AC2471">
        <v>650</v>
      </c>
      <c r="AD2471">
        <v>-60</v>
      </c>
      <c r="AE2471" s="1">
        <v>-39000</v>
      </c>
      <c r="AF2471">
        <v>0</v>
      </c>
      <c r="AJ2471">
        <v>650</v>
      </c>
      <c r="AK2471">
        <v>650</v>
      </c>
      <c r="AL2471">
        <v>650</v>
      </c>
      <c r="AM2471">
        <v>650</v>
      </c>
      <c r="AN2471">
        <v>650</v>
      </c>
      <c r="AO2471">
        <v>650</v>
      </c>
      <c r="AP2471" s="2">
        <v>42831</v>
      </c>
      <c r="AQ2471" t="s">
        <v>72</v>
      </c>
      <c r="AR2471" t="s">
        <v>72</v>
      </c>
      <c r="AS2471">
        <v>568</v>
      </c>
      <c r="AT2471" s="4">
        <v>42787</v>
      </c>
      <c r="AV2471">
        <v>568</v>
      </c>
      <c r="AW2471" s="4">
        <v>42787</v>
      </c>
      <c r="BD2471">
        <v>0</v>
      </c>
      <c r="BN2471" t="s">
        <v>74</v>
      </c>
    </row>
    <row r="2472" spans="1:66" hidden="1">
      <c r="A2472">
        <v>106833</v>
      </c>
      <c r="B2472" t="s">
        <v>542</v>
      </c>
      <c r="C2472" s="1">
        <v>43500101</v>
      </c>
      <c r="D2472" t="s">
        <v>98</v>
      </c>
      <c r="H2472" t="str">
        <f t="shared" si="315"/>
        <v>13756881002</v>
      </c>
      <c r="I2472" t="str">
        <f t="shared" si="315"/>
        <v>13756881002</v>
      </c>
      <c r="K2472" t="str">
        <f>""</f>
        <v/>
      </c>
      <c r="M2472" t="s">
        <v>68</v>
      </c>
      <c r="N2472" t="str">
        <f>"ALT"</f>
        <v>ALT</v>
      </c>
      <c r="O2472" t="s">
        <v>99</v>
      </c>
      <c r="P2472" t="s">
        <v>84</v>
      </c>
      <c r="Q2472">
        <v>2017</v>
      </c>
      <c r="R2472" s="4">
        <v>42815</v>
      </c>
      <c r="S2472" s="2">
        <v>42815</v>
      </c>
      <c r="T2472" s="2">
        <v>42815</v>
      </c>
      <c r="U2472" s="4">
        <v>42875</v>
      </c>
      <c r="V2472" t="s">
        <v>71</v>
      </c>
      <c r="W2472" t="str">
        <f>"                0321"</f>
        <v xml:space="preserve">                0321</v>
      </c>
      <c r="X2472">
        <v>0</v>
      </c>
      <c r="Y2472">
        <v>650</v>
      </c>
      <c r="Z2472" s="3">
        <v>650</v>
      </c>
      <c r="AA2472" s="3">
        <v>-60</v>
      </c>
      <c r="AB2472" s="5">
        <v>-39000</v>
      </c>
      <c r="AC2472">
        <v>650</v>
      </c>
      <c r="AD2472">
        <v>-60</v>
      </c>
      <c r="AE2472" s="1">
        <v>-39000</v>
      </c>
      <c r="AF2472">
        <v>0</v>
      </c>
      <c r="AJ2472">
        <v>650</v>
      </c>
      <c r="AK2472">
        <v>650</v>
      </c>
      <c r="AL2472">
        <v>650</v>
      </c>
      <c r="AM2472">
        <v>650</v>
      </c>
      <c r="AN2472">
        <v>650</v>
      </c>
      <c r="AO2472">
        <v>650</v>
      </c>
      <c r="AP2472" s="2">
        <v>42831</v>
      </c>
      <c r="AQ2472" t="s">
        <v>72</v>
      </c>
      <c r="AR2472" t="s">
        <v>72</v>
      </c>
      <c r="AS2472">
        <v>865</v>
      </c>
      <c r="AT2472" s="4">
        <v>42815</v>
      </c>
      <c r="AV2472">
        <v>865</v>
      </c>
      <c r="AW2472" s="4">
        <v>42815</v>
      </c>
      <c r="BD2472">
        <v>0</v>
      </c>
      <c r="BN2472" t="s">
        <v>74</v>
      </c>
    </row>
    <row r="2473" spans="1:66" hidden="1">
      <c r="A2473">
        <v>106834</v>
      </c>
      <c r="B2473" t="s">
        <v>543</v>
      </c>
      <c r="C2473" s="1">
        <v>43500101</v>
      </c>
      <c r="D2473" t="s">
        <v>98</v>
      </c>
      <c r="H2473" t="str">
        <f>"BFSMRA74R12A783A"</f>
        <v>BFSMRA74R12A783A</v>
      </c>
      <c r="I2473" t="str">
        <f>"01423850625"</f>
        <v>01423850625</v>
      </c>
      <c r="K2473" t="str">
        <f>""</f>
        <v/>
      </c>
      <c r="M2473" t="s">
        <v>68</v>
      </c>
      <c r="N2473" t="str">
        <f>"ALTPRO"</f>
        <v>ALTPRO</v>
      </c>
      <c r="O2473" t="s">
        <v>116</v>
      </c>
      <c r="P2473" t="s">
        <v>82</v>
      </c>
      <c r="Q2473">
        <v>2017</v>
      </c>
      <c r="R2473" s="4">
        <v>42755</v>
      </c>
      <c r="S2473" s="2">
        <v>42755</v>
      </c>
      <c r="T2473" s="2">
        <v>42755</v>
      </c>
      <c r="U2473" s="4">
        <v>42815</v>
      </c>
      <c r="V2473" t="s">
        <v>71</v>
      </c>
      <c r="W2473" t="str">
        <f>"                0120"</f>
        <v xml:space="preserve">                0120</v>
      </c>
      <c r="X2473">
        <v>0</v>
      </c>
      <c r="Y2473">
        <v>200</v>
      </c>
      <c r="Z2473" s="3">
        <v>200</v>
      </c>
      <c r="AA2473" s="3">
        <v>-57</v>
      </c>
      <c r="AB2473" s="5">
        <v>-11400</v>
      </c>
      <c r="AC2473">
        <v>200</v>
      </c>
      <c r="AD2473">
        <v>-57</v>
      </c>
      <c r="AE2473" s="1">
        <v>-11400</v>
      </c>
      <c r="AF2473">
        <v>0</v>
      </c>
      <c r="AJ2473">
        <v>200</v>
      </c>
      <c r="AK2473">
        <v>200</v>
      </c>
      <c r="AL2473">
        <v>200</v>
      </c>
      <c r="AM2473">
        <v>200</v>
      </c>
      <c r="AN2473">
        <v>200</v>
      </c>
      <c r="AO2473">
        <v>200</v>
      </c>
      <c r="AP2473" s="2">
        <v>42831</v>
      </c>
      <c r="AQ2473" t="s">
        <v>72</v>
      </c>
      <c r="AR2473" t="s">
        <v>72</v>
      </c>
      <c r="AS2473">
        <v>89</v>
      </c>
      <c r="AT2473" s="4">
        <v>42758</v>
      </c>
      <c r="AV2473">
        <v>89</v>
      </c>
      <c r="AW2473" s="4">
        <v>42758</v>
      </c>
      <c r="BD2473">
        <v>0</v>
      </c>
      <c r="BN2473" t="s">
        <v>74</v>
      </c>
    </row>
    <row r="2474" spans="1:66" hidden="1">
      <c r="A2474">
        <v>106834</v>
      </c>
      <c r="B2474" t="s">
        <v>543</v>
      </c>
      <c r="C2474" s="1">
        <v>43500101</v>
      </c>
      <c r="D2474" t="s">
        <v>98</v>
      </c>
      <c r="H2474" t="str">
        <f>"BFSMRA74R12A783A"</f>
        <v>BFSMRA74R12A783A</v>
      </c>
      <c r="I2474" t="str">
        <f>"01423850625"</f>
        <v>01423850625</v>
      </c>
      <c r="K2474" t="str">
        <f>""</f>
        <v/>
      </c>
      <c r="M2474" t="s">
        <v>68</v>
      </c>
      <c r="N2474" t="str">
        <f>"ALTPRO"</f>
        <v>ALTPRO</v>
      </c>
      <c r="O2474" t="s">
        <v>116</v>
      </c>
      <c r="P2474" t="s">
        <v>83</v>
      </c>
      <c r="Q2474">
        <v>2017</v>
      </c>
      <c r="R2474" s="4">
        <v>42786</v>
      </c>
      <c r="S2474" s="2">
        <v>42787</v>
      </c>
      <c r="T2474" s="2">
        <v>42787</v>
      </c>
      <c r="U2474" s="4">
        <v>42847</v>
      </c>
      <c r="V2474" t="s">
        <v>71</v>
      </c>
      <c r="W2474" t="str">
        <f>"                0220"</f>
        <v xml:space="preserve">                0220</v>
      </c>
      <c r="X2474">
        <v>0</v>
      </c>
      <c r="Y2474">
        <v>200</v>
      </c>
      <c r="Z2474" s="3">
        <v>200</v>
      </c>
      <c r="AA2474" s="3">
        <v>-60</v>
      </c>
      <c r="AB2474" s="5">
        <v>-12000</v>
      </c>
      <c r="AC2474">
        <v>200</v>
      </c>
      <c r="AD2474">
        <v>-60</v>
      </c>
      <c r="AE2474" s="1">
        <v>-12000</v>
      </c>
      <c r="AF2474">
        <v>0</v>
      </c>
      <c r="AJ2474">
        <v>200</v>
      </c>
      <c r="AK2474">
        <v>200</v>
      </c>
      <c r="AL2474">
        <v>200</v>
      </c>
      <c r="AM2474">
        <v>200</v>
      </c>
      <c r="AN2474">
        <v>200</v>
      </c>
      <c r="AO2474">
        <v>200</v>
      </c>
      <c r="AP2474" s="2">
        <v>42831</v>
      </c>
      <c r="AQ2474" t="s">
        <v>72</v>
      </c>
      <c r="AR2474" t="s">
        <v>72</v>
      </c>
      <c r="AS2474">
        <v>569</v>
      </c>
      <c r="AT2474" s="4">
        <v>42787</v>
      </c>
      <c r="AV2474">
        <v>569</v>
      </c>
      <c r="AW2474" s="4">
        <v>42787</v>
      </c>
      <c r="BD2474">
        <v>0</v>
      </c>
      <c r="BN2474" t="s">
        <v>74</v>
      </c>
    </row>
    <row r="2475" spans="1:66" hidden="1">
      <c r="A2475">
        <v>106834</v>
      </c>
      <c r="B2475" t="s">
        <v>543</v>
      </c>
      <c r="C2475" s="1">
        <v>43500101</v>
      </c>
      <c r="D2475" t="s">
        <v>98</v>
      </c>
      <c r="H2475" t="str">
        <f>"BFSMRA74R12A783A"</f>
        <v>BFSMRA74R12A783A</v>
      </c>
      <c r="I2475" t="str">
        <f>"01423850625"</f>
        <v>01423850625</v>
      </c>
      <c r="K2475" t="str">
        <f>""</f>
        <v/>
      </c>
      <c r="M2475" t="s">
        <v>68</v>
      </c>
      <c r="N2475" t="str">
        <f>"ALTPRO"</f>
        <v>ALTPRO</v>
      </c>
      <c r="O2475" t="s">
        <v>116</v>
      </c>
      <c r="P2475" t="s">
        <v>84</v>
      </c>
      <c r="Q2475">
        <v>2017</v>
      </c>
      <c r="R2475" s="4">
        <v>42815</v>
      </c>
      <c r="S2475" s="2">
        <v>42815</v>
      </c>
      <c r="T2475" s="2">
        <v>42815</v>
      </c>
      <c r="U2475" s="4">
        <v>42875</v>
      </c>
      <c r="V2475" t="s">
        <v>71</v>
      </c>
      <c r="W2475" t="str">
        <f>"                0321"</f>
        <v xml:space="preserve">                0321</v>
      </c>
      <c r="X2475">
        <v>0</v>
      </c>
      <c r="Y2475">
        <v>200</v>
      </c>
      <c r="Z2475" s="3">
        <v>200</v>
      </c>
      <c r="AA2475" s="3">
        <v>-60</v>
      </c>
      <c r="AB2475" s="5">
        <v>-12000</v>
      </c>
      <c r="AC2475">
        <v>200</v>
      </c>
      <c r="AD2475">
        <v>-60</v>
      </c>
      <c r="AE2475" s="1">
        <v>-12000</v>
      </c>
      <c r="AF2475">
        <v>0</v>
      </c>
      <c r="AJ2475">
        <v>200</v>
      </c>
      <c r="AK2475">
        <v>200</v>
      </c>
      <c r="AL2475">
        <v>200</v>
      </c>
      <c r="AM2475">
        <v>200</v>
      </c>
      <c r="AN2475">
        <v>200</v>
      </c>
      <c r="AO2475">
        <v>200</v>
      </c>
      <c r="AP2475" s="2">
        <v>42831</v>
      </c>
      <c r="AQ2475" t="s">
        <v>72</v>
      </c>
      <c r="AR2475" t="s">
        <v>72</v>
      </c>
      <c r="AS2475">
        <v>866</v>
      </c>
      <c r="AT2475" s="4">
        <v>42815</v>
      </c>
      <c r="AV2475">
        <v>866</v>
      </c>
      <c r="AW2475" s="4">
        <v>42815</v>
      </c>
      <c r="BD2475">
        <v>0</v>
      </c>
      <c r="BN2475" t="s">
        <v>74</v>
      </c>
    </row>
    <row r="2476" spans="1:66" hidden="1">
      <c r="A2476">
        <v>106835</v>
      </c>
      <c r="B2476" t="s">
        <v>544</v>
      </c>
      <c r="C2476" s="1">
        <v>43500101</v>
      </c>
      <c r="D2476" t="s">
        <v>98</v>
      </c>
      <c r="H2476" t="str">
        <f>"92000760626"</f>
        <v>92000760626</v>
      </c>
      <c r="I2476" t="str">
        <f>""</f>
        <v/>
      </c>
      <c r="K2476" t="str">
        <f>""</f>
        <v/>
      </c>
      <c r="M2476" t="s">
        <v>68</v>
      </c>
      <c r="N2476" t="str">
        <f>"ALT"</f>
        <v>ALT</v>
      </c>
      <c r="O2476" t="s">
        <v>99</v>
      </c>
      <c r="P2476" t="s">
        <v>82</v>
      </c>
      <c r="Q2476">
        <v>2017</v>
      </c>
      <c r="R2476" s="4">
        <v>42755</v>
      </c>
      <c r="S2476" s="2">
        <v>42755</v>
      </c>
      <c r="T2476" s="2">
        <v>42755</v>
      </c>
      <c r="U2476" s="4">
        <v>42815</v>
      </c>
      <c r="V2476" t="s">
        <v>71</v>
      </c>
      <c r="W2476" t="str">
        <f>"                0120"</f>
        <v xml:space="preserve">                0120</v>
      </c>
      <c r="X2476">
        <v>0</v>
      </c>
      <c r="Y2476">
        <v>76</v>
      </c>
      <c r="Z2476" s="3">
        <v>76</v>
      </c>
      <c r="AA2476" s="3">
        <v>-57</v>
      </c>
      <c r="AB2476" s="5">
        <v>-4332</v>
      </c>
      <c r="AC2476">
        <v>76</v>
      </c>
      <c r="AD2476">
        <v>-57</v>
      </c>
      <c r="AE2476" s="1">
        <v>-4332</v>
      </c>
      <c r="AF2476">
        <v>0</v>
      </c>
      <c r="AJ2476">
        <v>76</v>
      </c>
      <c r="AK2476">
        <v>76</v>
      </c>
      <c r="AL2476">
        <v>76</v>
      </c>
      <c r="AM2476">
        <v>76</v>
      </c>
      <c r="AN2476">
        <v>76</v>
      </c>
      <c r="AO2476">
        <v>76</v>
      </c>
      <c r="AP2476" s="2">
        <v>42831</v>
      </c>
      <c r="AQ2476" t="s">
        <v>72</v>
      </c>
      <c r="AR2476" t="s">
        <v>72</v>
      </c>
      <c r="AS2476">
        <v>90</v>
      </c>
      <c r="AT2476" s="4">
        <v>42758</v>
      </c>
      <c r="AV2476">
        <v>90</v>
      </c>
      <c r="AW2476" s="4">
        <v>42758</v>
      </c>
      <c r="BD2476">
        <v>0</v>
      </c>
      <c r="BN2476" t="s">
        <v>74</v>
      </c>
    </row>
    <row r="2477" spans="1:66" hidden="1">
      <c r="A2477">
        <v>106835</v>
      </c>
      <c r="B2477" t="s">
        <v>544</v>
      </c>
      <c r="C2477" s="1">
        <v>43500101</v>
      </c>
      <c r="D2477" t="s">
        <v>98</v>
      </c>
      <c r="H2477" t="str">
        <f>"92000760626"</f>
        <v>92000760626</v>
      </c>
      <c r="I2477" t="str">
        <f>""</f>
        <v/>
      </c>
      <c r="K2477" t="str">
        <f>""</f>
        <v/>
      </c>
      <c r="M2477" t="s">
        <v>68</v>
      </c>
      <c r="N2477" t="str">
        <f>"ALT"</f>
        <v>ALT</v>
      </c>
      <c r="O2477" t="s">
        <v>99</v>
      </c>
      <c r="P2477" t="s">
        <v>83</v>
      </c>
      <c r="Q2477">
        <v>2017</v>
      </c>
      <c r="R2477" s="4">
        <v>42786</v>
      </c>
      <c r="S2477" s="2">
        <v>42787</v>
      </c>
      <c r="T2477" s="2">
        <v>42787</v>
      </c>
      <c r="U2477" s="4">
        <v>42847</v>
      </c>
      <c r="V2477" t="s">
        <v>71</v>
      </c>
      <c r="W2477" t="str">
        <f>"                0220"</f>
        <v xml:space="preserve">                0220</v>
      </c>
      <c r="X2477">
        <v>0</v>
      </c>
      <c r="Y2477">
        <v>76</v>
      </c>
      <c r="Z2477" s="3">
        <v>76</v>
      </c>
      <c r="AA2477" s="3">
        <v>-60</v>
      </c>
      <c r="AB2477" s="5">
        <v>-4560</v>
      </c>
      <c r="AC2477">
        <v>76</v>
      </c>
      <c r="AD2477">
        <v>-60</v>
      </c>
      <c r="AE2477" s="1">
        <v>-4560</v>
      </c>
      <c r="AF2477">
        <v>0</v>
      </c>
      <c r="AJ2477">
        <v>76</v>
      </c>
      <c r="AK2477">
        <v>76</v>
      </c>
      <c r="AL2477">
        <v>76</v>
      </c>
      <c r="AM2477">
        <v>76</v>
      </c>
      <c r="AN2477">
        <v>76</v>
      </c>
      <c r="AO2477">
        <v>76</v>
      </c>
      <c r="AP2477" s="2">
        <v>42831</v>
      </c>
      <c r="AQ2477" t="s">
        <v>72</v>
      </c>
      <c r="AR2477" t="s">
        <v>72</v>
      </c>
      <c r="AS2477">
        <v>570</v>
      </c>
      <c r="AT2477" s="4">
        <v>42787</v>
      </c>
      <c r="AV2477">
        <v>570</v>
      </c>
      <c r="AW2477" s="4">
        <v>42787</v>
      </c>
      <c r="BD2477">
        <v>0</v>
      </c>
      <c r="BN2477" t="s">
        <v>74</v>
      </c>
    </row>
    <row r="2478" spans="1:66" hidden="1">
      <c r="A2478">
        <v>106835</v>
      </c>
      <c r="B2478" t="s">
        <v>544</v>
      </c>
      <c r="C2478" s="1">
        <v>43500101</v>
      </c>
      <c r="D2478" t="s">
        <v>98</v>
      </c>
      <c r="H2478" t="str">
        <f>"92000760626"</f>
        <v>92000760626</v>
      </c>
      <c r="I2478" t="str">
        <f>""</f>
        <v/>
      </c>
      <c r="K2478" t="str">
        <f>""</f>
        <v/>
      </c>
      <c r="M2478" t="s">
        <v>68</v>
      </c>
      <c r="N2478" t="str">
        <f>"ALT"</f>
        <v>ALT</v>
      </c>
      <c r="O2478" t="s">
        <v>99</v>
      </c>
      <c r="P2478" t="s">
        <v>84</v>
      </c>
      <c r="Q2478">
        <v>2017</v>
      </c>
      <c r="R2478" s="4">
        <v>42815</v>
      </c>
      <c r="S2478" s="2">
        <v>42815</v>
      </c>
      <c r="T2478" s="2">
        <v>42815</v>
      </c>
      <c r="U2478" s="4">
        <v>42875</v>
      </c>
      <c r="V2478" t="s">
        <v>71</v>
      </c>
      <c r="W2478" t="str">
        <f>"                0321"</f>
        <v xml:space="preserve">                0321</v>
      </c>
      <c r="X2478">
        <v>0</v>
      </c>
      <c r="Y2478">
        <v>76</v>
      </c>
      <c r="Z2478" s="3">
        <v>76</v>
      </c>
      <c r="AA2478" s="3">
        <v>-60</v>
      </c>
      <c r="AB2478" s="5">
        <v>-4560</v>
      </c>
      <c r="AC2478">
        <v>76</v>
      </c>
      <c r="AD2478">
        <v>-60</v>
      </c>
      <c r="AE2478" s="1">
        <v>-4560</v>
      </c>
      <c r="AF2478">
        <v>0</v>
      </c>
      <c r="AJ2478">
        <v>76</v>
      </c>
      <c r="AK2478">
        <v>76</v>
      </c>
      <c r="AL2478">
        <v>76</v>
      </c>
      <c r="AM2478">
        <v>76</v>
      </c>
      <c r="AN2478">
        <v>76</v>
      </c>
      <c r="AO2478">
        <v>76</v>
      </c>
      <c r="AP2478" s="2">
        <v>42831</v>
      </c>
      <c r="AQ2478" t="s">
        <v>72</v>
      </c>
      <c r="AR2478" t="s">
        <v>72</v>
      </c>
      <c r="AS2478">
        <v>867</v>
      </c>
      <c r="AT2478" s="4">
        <v>42815</v>
      </c>
      <c r="AV2478">
        <v>867</v>
      </c>
      <c r="AW2478" s="4">
        <v>42815</v>
      </c>
      <c r="BD2478">
        <v>0</v>
      </c>
      <c r="BN2478" t="s">
        <v>74</v>
      </c>
    </row>
    <row r="2479" spans="1:66">
      <c r="A2479">
        <v>106836</v>
      </c>
      <c r="B2479" t="s">
        <v>545</v>
      </c>
      <c r="C2479" s="1">
        <v>43500101</v>
      </c>
      <c r="D2479" t="s">
        <v>98</v>
      </c>
      <c r="H2479" t="str">
        <f>"DGNNGL72A48A783R"</f>
        <v>DGNNGL72A48A783R</v>
      </c>
      <c r="I2479" t="str">
        <f>""</f>
        <v/>
      </c>
      <c r="K2479" t="str">
        <f>""</f>
        <v/>
      </c>
      <c r="M2479" t="s">
        <v>68</v>
      </c>
      <c r="N2479" t="str">
        <f>"ALT"</f>
        <v>ALT</v>
      </c>
      <c r="O2479" t="s">
        <v>99</v>
      </c>
      <c r="P2479" t="s">
        <v>546</v>
      </c>
      <c r="Q2479">
        <v>2017</v>
      </c>
      <c r="R2479" s="4">
        <v>42755</v>
      </c>
      <c r="S2479" s="2">
        <v>42755</v>
      </c>
      <c r="T2479" s="2">
        <v>42755</v>
      </c>
      <c r="U2479" s="4">
        <v>42815</v>
      </c>
      <c r="V2479" t="s">
        <v>71</v>
      </c>
      <c r="W2479" t="str">
        <f>"                   2"</f>
        <v xml:space="preserve">                   2</v>
      </c>
      <c r="X2479">
        <v>0</v>
      </c>
      <c r="Y2479" s="1">
        <v>19713.5</v>
      </c>
      <c r="Z2479" s="5">
        <v>19713.5</v>
      </c>
      <c r="AA2479" s="3">
        <v>-60</v>
      </c>
      <c r="AB2479" s="5">
        <v>-1182810</v>
      </c>
      <c r="AC2479" s="1">
        <v>19713.5</v>
      </c>
      <c r="AD2479">
        <v>-60</v>
      </c>
      <c r="AE2479" s="1">
        <v>-1182810</v>
      </c>
      <c r="AF2479">
        <v>0</v>
      </c>
      <c r="AJ2479" s="1">
        <v>19713.5</v>
      </c>
      <c r="AK2479" s="1">
        <v>19713.5</v>
      </c>
      <c r="AL2479" s="1">
        <v>19713.5</v>
      </c>
      <c r="AM2479" s="1">
        <v>19713.5</v>
      </c>
      <c r="AN2479" s="1">
        <v>19713.5</v>
      </c>
      <c r="AO2479" s="1">
        <v>19713.5</v>
      </c>
      <c r="AP2479" s="2">
        <v>42831</v>
      </c>
      <c r="AQ2479" t="s">
        <v>72</v>
      </c>
      <c r="AR2479" t="s">
        <v>72</v>
      </c>
      <c r="AS2479">
        <v>15</v>
      </c>
      <c r="AT2479" s="4">
        <v>42755</v>
      </c>
      <c r="AV2479">
        <v>15</v>
      </c>
      <c r="AW2479" s="4">
        <v>42755</v>
      </c>
      <c r="BD2479">
        <v>0</v>
      </c>
      <c r="BN2479" t="s">
        <v>74</v>
      </c>
    </row>
    <row r="2480" spans="1:66">
      <c r="A2480">
        <v>106837</v>
      </c>
      <c r="B2480" t="s">
        <v>547</v>
      </c>
      <c r="C2480" s="1">
        <v>43500101</v>
      </c>
      <c r="D2480" t="s">
        <v>98</v>
      </c>
      <c r="H2480" t="str">
        <f>"00818570012"</f>
        <v>00818570012</v>
      </c>
      <c r="I2480" t="str">
        <f>"00818570012"</f>
        <v>00818570012</v>
      </c>
      <c r="K2480" t="str">
        <f>""</f>
        <v/>
      </c>
      <c r="M2480" t="s">
        <v>68</v>
      </c>
      <c r="N2480" t="str">
        <f>"ALTFIN"</f>
        <v>ALTFIN</v>
      </c>
      <c r="O2480" t="s">
        <v>102</v>
      </c>
      <c r="P2480" t="s">
        <v>548</v>
      </c>
      <c r="Q2480">
        <v>2017</v>
      </c>
      <c r="R2480" s="4">
        <v>42755</v>
      </c>
      <c r="S2480" s="2">
        <v>42755</v>
      </c>
      <c r="T2480" s="2">
        <v>42755</v>
      </c>
      <c r="U2480" s="4">
        <v>42815</v>
      </c>
      <c r="V2480" t="s">
        <v>71</v>
      </c>
      <c r="W2480" t="str">
        <f>"                   3"</f>
        <v xml:space="preserve">                   3</v>
      </c>
      <c r="X2480">
        <v>0</v>
      </c>
      <c r="Y2480" s="1">
        <v>3270</v>
      </c>
      <c r="Z2480" s="5">
        <v>3270</v>
      </c>
      <c r="AA2480" s="3">
        <v>-60</v>
      </c>
      <c r="AB2480" s="5">
        <v>-196200</v>
      </c>
      <c r="AC2480" s="1">
        <v>3270</v>
      </c>
      <c r="AD2480">
        <v>-60</v>
      </c>
      <c r="AE2480" s="1">
        <v>-196200</v>
      </c>
      <c r="AF2480">
        <v>0</v>
      </c>
      <c r="AJ2480" s="1">
        <v>3270</v>
      </c>
      <c r="AK2480" s="1">
        <v>3270</v>
      </c>
      <c r="AL2480" s="1">
        <v>3270</v>
      </c>
      <c r="AM2480" s="1">
        <v>3270</v>
      </c>
      <c r="AN2480" s="1">
        <v>3270</v>
      </c>
      <c r="AO2480" s="1">
        <v>3270</v>
      </c>
      <c r="AP2480" s="2">
        <v>42831</v>
      </c>
      <c r="AQ2480" t="s">
        <v>72</v>
      </c>
      <c r="AR2480" t="s">
        <v>72</v>
      </c>
      <c r="AS2480">
        <v>16</v>
      </c>
      <c r="AT2480" s="4">
        <v>42755</v>
      </c>
      <c r="AV2480">
        <v>16</v>
      </c>
      <c r="AW2480" s="4">
        <v>42755</v>
      </c>
      <c r="BD2480">
        <v>0</v>
      </c>
      <c r="BN2480" t="s">
        <v>74</v>
      </c>
    </row>
    <row r="2481" spans="1:66">
      <c r="A2481">
        <v>106839</v>
      </c>
      <c r="B2481" t="s">
        <v>549</v>
      </c>
      <c r="C2481" s="1">
        <v>43500101</v>
      </c>
      <c r="D2481" t="s">
        <v>98</v>
      </c>
      <c r="H2481" t="str">
        <f>"CRSCRL61M11A783S"</f>
        <v>CRSCRL61M11A783S</v>
      </c>
      <c r="I2481" t="str">
        <f>"00965040629"</f>
        <v>00965040629</v>
      </c>
      <c r="K2481" t="str">
        <f>""</f>
        <v/>
      </c>
      <c r="M2481" t="s">
        <v>68</v>
      </c>
      <c r="N2481" t="str">
        <f>"ALTPRO"</f>
        <v>ALTPRO</v>
      </c>
      <c r="O2481" t="s">
        <v>116</v>
      </c>
      <c r="P2481" t="s">
        <v>120</v>
      </c>
      <c r="Q2481">
        <v>2017</v>
      </c>
      <c r="R2481" s="4">
        <v>42763</v>
      </c>
      <c r="S2481" s="2">
        <v>42765</v>
      </c>
      <c r="T2481" s="2">
        <v>42763</v>
      </c>
      <c r="U2481" s="4">
        <v>42823</v>
      </c>
      <c r="V2481" t="s">
        <v>71</v>
      </c>
      <c r="W2481" t="str">
        <f>"                1/PA"</f>
        <v xml:space="preserve">                1/PA</v>
      </c>
      <c r="X2481">
        <v>349.8</v>
      </c>
      <c r="Y2481">
        <v>-51.75</v>
      </c>
      <c r="Z2481" s="5">
        <v>298.05</v>
      </c>
      <c r="AA2481" s="3">
        <v>-30</v>
      </c>
      <c r="AB2481" s="5">
        <v>-8941.5</v>
      </c>
      <c r="AC2481">
        <v>298.05</v>
      </c>
      <c r="AD2481">
        <v>-30</v>
      </c>
      <c r="AE2481" s="1">
        <v>-8941.5</v>
      </c>
      <c r="AF2481">
        <v>0</v>
      </c>
      <c r="AJ2481">
        <v>298.05</v>
      </c>
      <c r="AK2481">
        <v>298.05</v>
      </c>
      <c r="AL2481">
        <v>298.05</v>
      </c>
      <c r="AM2481">
        <v>298.05</v>
      </c>
      <c r="AN2481">
        <v>298.05</v>
      </c>
      <c r="AO2481">
        <v>298.05</v>
      </c>
      <c r="AP2481" s="2">
        <v>42831</v>
      </c>
      <c r="AQ2481" t="s">
        <v>72</v>
      </c>
      <c r="AR2481" t="s">
        <v>72</v>
      </c>
      <c r="AS2481">
        <v>588</v>
      </c>
      <c r="AT2481" s="4">
        <v>42793</v>
      </c>
      <c r="AV2481">
        <v>588</v>
      </c>
      <c r="AW2481" s="4">
        <v>42793</v>
      </c>
      <c r="BD2481">
        <v>0</v>
      </c>
      <c r="BN2481" t="s">
        <v>74</v>
      </c>
    </row>
    <row r="2482" spans="1:66">
      <c r="A2482">
        <v>106839</v>
      </c>
      <c r="B2482" t="s">
        <v>549</v>
      </c>
      <c r="C2482" s="1">
        <v>43500101</v>
      </c>
      <c r="D2482" t="s">
        <v>98</v>
      </c>
      <c r="H2482" t="str">
        <f>"CRSCRL61M11A783S"</f>
        <v>CRSCRL61M11A783S</v>
      </c>
      <c r="I2482" t="str">
        <f>"00965040629"</f>
        <v>00965040629</v>
      </c>
      <c r="K2482" t="str">
        <f>""</f>
        <v/>
      </c>
      <c r="M2482" t="s">
        <v>68</v>
      </c>
      <c r="N2482" t="str">
        <f>"ALTPRO"</f>
        <v>ALTPRO</v>
      </c>
      <c r="O2482" t="s">
        <v>116</v>
      </c>
      <c r="P2482" t="s">
        <v>120</v>
      </c>
      <c r="Q2482">
        <v>2017</v>
      </c>
      <c r="R2482" s="4">
        <v>42763</v>
      </c>
      <c r="S2482" s="2">
        <v>42765</v>
      </c>
      <c r="T2482" s="2">
        <v>42763</v>
      </c>
      <c r="U2482" s="4">
        <v>42823</v>
      </c>
      <c r="V2482" t="s">
        <v>71</v>
      </c>
      <c r="W2482" t="str">
        <f>"                2/PA"</f>
        <v xml:space="preserve">                2/PA</v>
      </c>
      <c r="X2482">
        <v>349.8</v>
      </c>
      <c r="Y2482">
        <v>-51.75</v>
      </c>
      <c r="Z2482" s="5">
        <v>298.05</v>
      </c>
      <c r="AA2482" s="3">
        <v>-30</v>
      </c>
      <c r="AB2482" s="5">
        <v>-8941.5</v>
      </c>
      <c r="AC2482">
        <v>298.05</v>
      </c>
      <c r="AD2482">
        <v>-30</v>
      </c>
      <c r="AE2482" s="1">
        <v>-8941.5</v>
      </c>
      <c r="AF2482">
        <v>0</v>
      </c>
      <c r="AJ2482">
        <v>298.05</v>
      </c>
      <c r="AK2482">
        <v>298.05</v>
      </c>
      <c r="AL2482">
        <v>298.05</v>
      </c>
      <c r="AM2482">
        <v>298.05</v>
      </c>
      <c r="AN2482">
        <v>298.05</v>
      </c>
      <c r="AO2482">
        <v>298.05</v>
      </c>
      <c r="AP2482" s="2">
        <v>42831</v>
      </c>
      <c r="AQ2482" t="s">
        <v>72</v>
      </c>
      <c r="AR2482" t="s">
        <v>72</v>
      </c>
      <c r="AS2482">
        <v>588</v>
      </c>
      <c r="AT2482" s="4">
        <v>42793</v>
      </c>
      <c r="AV2482">
        <v>588</v>
      </c>
      <c r="AW2482" s="4">
        <v>42793</v>
      </c>
      <c r="BD2482">
        <v>0</v>
      </c>
      <c r="BN2482" t="s">
        <v>74</v>
      </c>
    </row>
    <row r="2483" spans="1:66">
      <c r="A2483">
        <v>106839</v>
      </c>
      <c r="B2483" t="s">
        <v>549</v>
      </c>
      <c r="C2483" s="1">
        <v>43500101</v>
      </c>
      <c r="D2483" t="s">
        <v>98</v>
      </c>
      <c r="H2483" t="str">
        <f>"CRSCRL61M11A783S"</f>
        <v>CRSCRL61M11A783S</v>
      </c>
      <c r="I2483" t="str">
        <f>"00965040629"</f>
        <v>00965040629</v>
      </c>
      <c r="K2483" t="str">
        <f>""</f>
        <v/>
      </c>
      <c r="M2483" t="s">
        <v>68</v>
      </c>
      <c r="N2483" t="str">
        <f>"ALTPRO"</f>
        <v>ALTPRO</v>
      </c>
      <c r="O2483" t="s">
        <v>116</v>
      </c>
      <c r="P2483" t="s">
        <v>120</v>
      </c>
      <c r="Q2483">
        <v>2017</v>
      </c>
      <c r="R2483" s="4">
        <v>42763</v>
      </c>
      <c r="S2483" s="2">
        <v>42765</v>
      </c>
      <c r="T2483" s="2">
        <v>42763</v>
      </c>
      <c r="U2483" s="4">
        <v>42823</v>
      </c>
      <c r="V2483" t="s">
        <v>71</v>
      </c>
      <c r="W2483" t="str">
        <f>"                3/PA"</f>
        <v xml:space="preserve">                3/PA</v>
      </c>
      <c r="X2483">
        <v>152.82</v>
      </c>
      <c r="Y2483">
        <v>-20.7</v>
      </c>
      <c r="Z2483" s="5">
        <v>132.12</v>
      </c>
      <c r="AA2483" s="3">
        <v>-30</v>
      </c>
      <c r="AB2483" s="5">
        <v>-3963.6</v>
      </c>
      <c r="AC2483">
        <v>132.12</v>
      </c>
      <c r="AD2483">
        <v>-30</v>
      </c>
      <c r="AE2483" s="1">
        <v>-3963.6</v>
      </c>
      <c r="AF2483">
        <v>0</v>
      </c>
      <c r="AJ2483">
        <v>132.12</v>
      </c>
      <c r="AK2483">
        <v>132.12</v>
      </c>
      <c r="AL2483">
        <v>132.12</v>
      </c>
      <c r="AM2483">
        <v>132.12</v>
      </c>
      <c r="AN2483">
        <v>132.12</v>
      </c>
      <c r="AO2483">
        <v>132.12</v>
      </c>
      <c r="AP2483" s="2">
        <v>42831</v>
      </c>
      <c r="AQ2483" t="s">
        <v>72</v>
      </c>
      <c r="AR2483" t="s">
        <v>72</v>
      </c>
      <c r="AS2483">
        <v>588</v>
      </c>
      <c r="AT2483" s="4">
        <v>42793</v>
      </c>
      <c r="AV2483">
        <v>588</v>
      </c>
      <c r="AW2483" s="4">
        <v>42793</v>
      </c>
      <c r="BD2483">
        <v>0</v>
      </c>
      <c r="BN2483" t="s">
        <v>74</v>
      </c>
    </row>
    <row r="2484" spans="1:66">
      <c r="A2484">
        <v>106840</v>
      </c>
      <c r="B2484" t="s">
        <v>550</v>
      </c>
      <c r="C2484" s="1">
        <v>43500101</v>
      </c>
      <c r="D2484" t="s">
        <v>98</v>
      </c>
      <c r="H2484" t="str">
        <f>"STFMRS66T60A783A"</f>
        <v>STFMRS66T60A783A</v>
      </c>
      <c r="I2484" t="str">
        <f>""</f>
        <v/>
      </c>
      <c r="K2484" t="str">
        <f>""</f>
        <v/>
      </c>
      <c r="M2484" t="s">
        <v>68</v>
      </c>
      <c r="N2484" t="str">
        <f>"ALT"</f>
        <v>ALT</v>
      </c>
      <c r="O2484" t="s">
        <v>99</v>
      </c>
      <c r="P2484" t="s">
        <v>531</v>
      </c>
      <c r="Q2484">
        <v>2017</v>
      </c>
      <c r="R2484" s="4">
        <v>42767</v>
      </c>
      <c r="S2484" s="2">
        <v>42767</v>
      </c>
      <c r="T2484" s="2">
        <v>42767</v>
      </c>
      <c r="U2484" s="4">
        <v>42767</v>
      </c>
      <c r="V2484" t="s">
        <v>71</v>
      </c>
      <c r="W2484" t="str">
        <f>"                  16"</f>
        <v xml:space="preserve">                  16</v>
      </c>
      <c r="X2484">
        <v>0</v>
      </c>
      <c r="Y2484">
        <v>300</v>
      </c>
      <c r="Z2484" s="5">
        <v>300</v>
      </c>
      <c r="AB2484" s="3">
        <v>0</v>
      </c>
      <c r="AC2484">
        <v>300</v>
      </c>
      <c r="AE2484">
        <v>0</v>
      </c>
      <c r="AF2484">
        <v>0</v>
      </c>
      <c r="AJ2484">
        <v>300</v>
      </c>
      <c r="AK2484">
        <v>300</v>
      </c>
      <c r="AL2484">
        <v>300</v>
      </c>
      <c r="AM2484">
        <v>300</v>
      </c>
      <c r="AN2484">
        <v>300</v>
      </c>
      <c r="AO2484">
        <v>300</v>
      </c>
      <c r="AP2484" s="2">
        <v>42831</v>
      </c>
      <c r="AQ2484" t="s">
        <v>72</v>
      </c>
      <c r="AR2484" t="s">
        <v>72</v>
      </c>
      <c r="AS2484">
        <v>194</v>
      </c>
      <c r="AT2484" s="4">
        <v>42767</v>
      </c>
      <c r="AV2484">
        <v>194</v>
      </c>
      <c r="AW2484" s="4">
        <v>42767</v>
      </c>
      <c r="BD2484">
        <v>0</v>
      </c>
      <c r="BN2484" t="s">
        <v>74</v>
      </c>
    </row>
    <row r="2485" spans="1:66">
      <c r="A2485">
        <v>106841</v>
      </c>
      <c r="B2485" t="s">
        <v>551</v>
      </c>
      <c r="C2485" s="1">
        <v>43500101</v>
      </c>
      <c r="D2485" t="s">
        <v>98</v>
      </c>
      <c r="H2485" t="str">
        <f>"NCSTZN75L63A783E"</f>
        <v>NCSTZN75L63A783E</v>
      </c>
      <c r="I2485" t="str">
        <f>""</f>
        <v/>
      </c>
      <c r="K2485" t="str">
        <f>""</f>
        <v/>
      </c>
      <c r="M2485" t="s">
        <v>68</v>
      </c>
      <c r="N2485" t="str">
        <f>"ALT"</f>
        <v>ALT</v>
      </c>
      <c r="O2485" t="s">
        <v>99</v>
      </c>
      <c r="P2485" t="s">
        <v>531</v>
      </c>
      <c r="Q2485">
        <v>2017</v>
      </c>
      <c r="R2485" s="4">
        <v>42767</v>
      </c>
      <c r="S2485" s="2">
        <v>42767</v>
      </c>
      <c r="T2485" s="2">
        <v>42767</v>
      </c>
      <c r="U2485" s="4">
        <v>42767</v>
      </c>
      <c r="V2485" t="s">
        <v>71</v>
      </c>
      <c r="W2485" t="str">
        <f>"                  17"</f>
        <v xml:space="preserve">                  17</v>
      </c>
      <c r="X2485">
        <v>0</v>
      </c>
      <c r="Y2485">
        <v>300</v>
      </c>
      <c r="Z2485" s="5">
        <v>300</v>
      </c>
      <c r="AB2485" s="3">
        <v>0</v>
      </c>
      <c r="AC2485">
        <v>300</v>
      </c>
      <c r="AE2485">
        <v>0</v>
      </c>
      <c r="AF2485">
        <v>0</v>
      </c>
      <c r="AJ2485">
        <v>300</v>
      </c>
      <c r="AK2485">
        <v>300</v>
      </c>
      <c r="AL2485">
        <v>300</v>
      </c>
      <c r="AM2485">
        <v>300</v>
      </c>
      <c r="AN2485">
        <v>300</v>
      </c>
      <c r="AO2485">
        <v>300</v>
      </c>
      <c r="AP2485" s="2">
        <v>42831</v>
      </c>
      <c r="AQ2485" t="s">
        <v>72</v>
      </c>
      <c r="AR2485" t="s">
        <v>72</v>
      </c>
      <c r="AS2485">
        <v>195</v>
      </c>
      <c r="AT2485" s="4">
        <v>42767</v>
      </c>
      <c r="AV2485">
        <v>195</v>
      </c>
      <c r="AW2485" s="4">
        <v>42767</v>
      </c>
      <c r="BD2485">
        <v>0</v>
      </c>
      <c r="BN2485" t="s">
        <v>74</v>
      </c>
    </row>
    <row r="2486" spans="1:66">
      <c r="A2486">
        <v>106846</v>
      </c>
      <c r="B2486" t="s">
        <v>552</v>
      </c>
      <c r="C2486" s="1">
        <v>43300101</v>
      </c>
      <c r="D2486" t="s">
        <v>67</v>
      </c>
      <c r="H2486" t="str">
        <f>"07777350633"</f>
        <v>07777350633</v>
      </c>
      <c r="I2486" t="str">
        <f>"07777350633"</f>
        <v>07777350633</v>
      </c>
      <c r="K2486" t="str">
        <f>""</f>
        <v/>
      </c>
      <c r="M2486" t="s">
        <v>68</v>
      </c>
      <c r="N2486" t="str">
        <f>"FOR"</f>
        <v>FOR</v>
      </c>
      <c r="O2486" t="s">
        <v>69</v>
      </c>
      <c r="P2486" t="s">
        <v>75</v>
      </c>
      <c r="Q2486">
        <v>2016</v>
      </c>
      <c r="R2486" s="4">
        <v>42704</v>
      </c>
      <c r="S2486" s="2">
        <v>42783</v>
      </c>
      <c r="T2486" s="2">
        <v>42782</v>
      </c>
      <c r="U2486" s="4">
        <v>42842</v>
      </c>
      <c r="V2486" t="s">
        <v>71</v>
      </c>
      <c r="W2486" t="str">
        <f>"                7/01"</f>
        <v xml:space="preserve">                7/01</v>
      </c>
      <c r="X2486" s="1">
        <v>9836.48</v>
      </c>
      <c r="Y2486">
        <v>0</v>
      </c>
      <c r="Z2486" s="5">
        <v>9836.48</v>
      </c>
      <c r="AA2486" s="3">
        <v>-49</v>
      </c>
      <c r="AB2486" s="5">
        <v>-481987.52</v>
      </c>
      <c r="AC2486" s="1">
        <v>9836.48</v>
      </c>
      <c r="AD2486">
        <v>-49</v>
      </c>
      <c r="AE2486" s="1">
        <v>-481987.52</v>
      </c>
      <c r="AF2486">
        <v>0</v>
      </c>
      <c r="AJ2486">
        <v>0</v>
      </c>
      <c r="AK2486" s="1">
        <v>9836.48</v>
      </c>
      <c r="AL2486">
        <v>0</v>
      </c>
      <c r="AM2486">
        <v>0</v>
      </c>
      <c r="AN2486" s="1">
        <v>9836.48</v>
      </c>
      <c r="AO2486">
        <v>0</v>
      </c>
      <c r="AP2486" s="2">
        <v>42831</v>
      </c>
      <c r="AQ2486" t="s">
        <v>72</v>
      </c>
      <c r="AR2486" t="s">
        <v>72</v>
      </c>
      <c r="AS2486">
        <v>589</v>
      </c>
      <c r="AT2486" s="4">
        <v>42793</v>
      </c>
      <c r="AV2486">
        <v>589</v>
      </c>
      <c r="AW2486" s="4">
        <v>42793</v>
      </c>
      <c r="BD2486">
        <v>0</v>
      </c>
      <c r="BN2486" t="s">
        <v>74</v>
      </c>
    </row>
    <row r="2487" spans="1:66">
      <c r="A2487">
        <v>106849</v>
      </c>
      <c r="B2487" t="s">
        <v>553</v>
      </c>
      <c r="C2487" s="1">
        <v>43500101</v>
      </c>
      <c r="D2487" t="s">
        <v>98</v>
      </c>
      <c r="H2487" t="str">
        <f>"CMMCRN80D64Z112A"</f>
        <v>CMMCRN80D64Z112A</v>
      </c>
      <c r="I2487" t="str">
        <f>""</f>
        <v/>
      </c>
      <c r="K2487" t="str">
        <f>""</f>
        <v/>
      </c>
      <c r="M2487" t="s">
        <v>68</v>
      </c>
      <c r="N2487" t="str">
        <f>"ALT"</f>
        <v>ALT</v>
      </c>
      <c r="O2487" t="s">
        <v>99</v>
      </c>
      <c r="P2487" t="s">
        <v>554</v>
      </c>
      <c r="Q2487">
        <v>2017</v>
      </c>
      <c r="R2487" s="4">
        <v>42787</v>
      </c>
      <c r="S2487" s="2">
        <v>42787</v>
      </c>
      <c r="T2487" s="2">
        <v>42787</v>
      </c>
      <c r="U2487" s="4">
        <v>42847</v>
      </c>
      <c r="V2487" t="s">
        <v>71</v>
      </c>
      <c r="W2487" t="str">
        <f>"                  30"</f>
        <v xml:space="preserve">                  30</v>
      </c>
      <c r="X2487">
        <v>0</v>
      </c>
      <c r="Y2487" s="1">
        <v>1600</v>
      </c>
      <c r="Z2487" s="5">
        <v>1600</v>
      </c>
      <c r="AA2487" s="3">
        <v>-54</v>
      </c>
      <c r="AB2487" s="5">
        <v>-86400</v>
      </c>
      <c r="AC2487" s="1">
        <v>1600</v>
      </c>
      <c r="AD2487">
        <v>-54</v>
      </c>
      <c r="AE2487" s="1">
        <v>-86400</v>
      </c>
      <c r="AF2487">
        <v>0</v>
      </c>
      <c r="AJ2487" s="1">
        <v>1600</v>
      </c>
      <c r="AK2487" s="1">
        <v>1600</v>
      </c>
      <c r="AL2487" s="1">
        <v>1600</v>
      </c>
      <c r="AM2487" s="1">
        <v>1600</v>
      </c>
      <c r="AN2487" s="1">
        <v>1600</v>
      </c>
      <c r="AO2487" s="1">
        <v>1600</v>
      </c>
      <c r="AP2487" s="2">
        <v>42831</v>
      </c>
      <c r="AQ2487" t="s">
        <v>72</v>
      </c>
      <c r="AR2487" t="s">
        <v>72</v>
      </c>
      <c r="AS2487">
        <v>583</v>
      </c>
      <c r="AT2487" s="4">
        <v>42793</v>
      </c>
      <c r="AV2487">
        <v>583</v>
      </c>
      <c r="AW2487" s="4">
        <v>42793</v>
      </c>
      <c r="BD2487">
        <v>0</v>
      </c>
      <c r="BN2487" t="s">
        <v>74</v>
      </c>
    </row>
    <row r="2488" spans="1:66">
      <c r="A2488">
        <v>106850</v>
      </c>
      <c r="B2488" t="s">
        <v>555</v>
      </c>
      <c r="C2488" s="1">
        <v>43500101</v>
      </c>
      <c r="D2488" t="s">
        <v>98</v>
      </c>
      <c r="H2488" t="str">
        <f>"MMRMRA50T65G227E"</f>
        <v>MMRMRA50T65G227E</v>
      </c>
      <c r="I2488" t="str">
        <f>""</f>
        <v/>
      </c>
      <c r="K2488" t="str">
        <f>""</f>
        <v/>
      </c>
      <c r="M2488" t="s">
        <v>68</v>
      </c>
      <c r="N2488" t="str">
        <f>"ALT"</f>
        <v>ALT</v>
      </c>
      <c r="O2488" t="s">
        <v>99</v>
      </c>
      <c r="P2488" t="s">
        <v>556</v>
      </c>
      <c r="Q2488">
        <v>2017</v>
      </c>
      <c r="R2488" s="4">
        <v>42787</v>
      </c>
      <c r="S2488" s="2">
        <v>42787</v>
      </c>
      <c r="T2488" s="2">
        <v>42787</v>
      </c>
      <c r="U2488" s="4">
        <v>42847</v>
      </c>
      <c r="V2488" t="s">
        <v>71</v>
      </c>
      <c r="W2488" t="str">
        <f>"                  31"</f>
        <v xml:space="preserve">                  31</v>
      </c>
      <c r="X2488">
        <v>0</v>
      </c>
      <c r="Y2488" s="1">
        <v>8600</v>
      </c>
      <c r="Z2488" s="5">
        <v>8600</v>
      </c>
      <c r="AA2488" s="3">
        <v>-54</v>
      </c>
      <c r="AB2488" s="5">
        <v>-464400</v>
      </c>
      <c r="AC2488" s="1">
        <v>8600</v>
      </c>
      <c r="AD2488">
        <v>-54</v>
      </c>
      <c r="AE2488" s="1">
        <v>-464400</v>
      </c>
      <c r="AF2488">
        <v>0</v>
      </c>
      <c r="AJ2488" s="1">
        <v>8600</v>
      </c>
      <c r="AK2488" s="1">
        <v>8600</v>
      </c>
      <c r="AL2488" s="1">
        <v>8600</v>
      </c>
      <c r="AM2488" s="1">
        <v>8600</v>
      </c>
      <c r="AN2488" s="1">
        <v>8600</v>
      </c>
      <c r="AO2488" s="1">
        <v>8600</v>
      </c>
      <c r="AP2488" s="2">
        <v>42831</v>
      </c>
      <c r="AQ2488" t="s">
        <v>72</v>
      </c>
      <c r="AR2488" t="s">
        <v>72</v>
      </c>
      <c r="AS2488">
        <v>584</v>
      </c>
      <c r="AT2488" s="4">
        <v>42793</v>
      </c>
      <c r="AV2488">
        <v>584</v>
      </c>
      <c r="AW2488" s="4">
        <v>42793</v>
      </c>
      <c r="BD2488">
        <v>0</v>
      </c>
      <c r="BN2488" t="s">
        <v>74</v>
      </c>
    </row>
    <row r="2489" spans="1:66">
      <c r="A2489">
        <v>106851</v>
      </c>
      <c r="B2489" t="s">
        <v>557</v>
      </c>
      <c r="C2489" s="1">
        <v>43500101</v>
      </c>
      <c r="D2489" t="s">
        <v>98</v>
      </c>
      <c r="H2489" t="str">
        <f>"DRNGNN58B56A970X"</f>
        <v>DRNGNN58B56A970X</v>
      </c>
      <c r="I2489" t="str">
        <f>""</f>
        <v/>
      </c>
      <c r="K2489" t="str">
        <f>""</f>
        <v/>
      </c>
      <c r="M2489" t="s">
        <v>68</v>
      </c>
      <c r="N2489" t="str">
        <f>"ALT"</f>
        <v>ALT</v>
      </c>
      <c r="O2489" t="s">
        <v>99</v>
      </c>
      <c r="P2489" t="s">
        <v>558</v>
      </c>
      <c r="Q2489">
        <v>2017</v>
      </c>
      <c r="R2489" s="4">
        <v>42787</v>
      </c>
      <c r="S2489" s="2">
        <v>42787</v>
      </c>
      <c r="T2489" s="2">
        <v>42787</v>
      </c>
      <c r="U2489" s="4">
        <v>42847</v>
      </c>
      <c r="V2489" t="s">
        <v>71</v>
      </c>
      <c r="W2489" t="str">
        <f>"                  32"</f>
        <v xml:space="preserve">                  32</v>
      </c>
      <c r="X2489">
        <v>0</v>
      </c>
      <c r="Y2489" s="1">
        <v>5098</v>
      </c>
      <c r="Z2489" s="5">
        <v>5098</v>
      </c>
      <c r="AA2489" s="3">
        <v>-54</v>
      </c>
      <c r="AB2489" s="5">
        <v>-275292</v>
      </c>
      <c r="AC2489" s="1">
        <v>5098</v>
      </c>
      <c r="AD2489">
        <v>-54</v>
      </c>
      <c r="AE2489" s="1">
        <v>-275292</v>
      </c>
      <c r="AF2489">
        <v>0</v>
      </c>
      <c r="AJ2489" s="1">
        <v>5098</v>
      </c>
      <c r="AK2489" s="1">
        <v>5098</v>
      </c>
      <c r="AL2489" s="1">
        <v>5098</v>
      </c>
      <c r="AM2489" s="1">
        <v>5098</v>
      </c>
      <c r="AN2489" s="1">
        <v>5098</v>
      </c>
      <c r="AO2489" s="1">
        <v>5098</v>
      </c>
      <c r="AP2489" s="2">
        <v>42831</v>
      </c>
      <c r="AQ2489" t="s">
        <v>72</v>
      </c>
      <c r="AR2489" t="s">
        <v>72</v>
      </c>
      <c r="AS2489">
        <v>585</v>
      </c>
      <c r="AT2489" s="4">
        <v>42793</v>
      </c>
      <c r="AV2489">
        <v>585</v>
      </c>
      <c r="AW2489" s="4">
        <v>42793</v>
      </c>
      <c r="BD2489">
        <v>0</v>
      </c>
      <c r="BN2489" t="s">
        <v>74</v>
      </c>
    </row>
    <row r="2490" spans="1:66">
      <c r="A2490">
        <v>106852</v>
      </c>
      <c r="B2490" t="s">
        <v>559</v>
      </c>
      <c r="C2490" s="1">
        <v>43500101</v>
      </c>
      <c r="D2490" t="s">
        <v>98</v>
      </c>
      <c r="H2490" t="str">
        <f>"NRUSNT78C59A783Q"</f>
        <v>NRUSNT78C59A783Q</v>
      </c>
      <c r="I2490" t="str">
        <f>""</f>
        <v/>
      </c>
      <c r="K2490" t="str">
        <f>""</f>
        <v/>
      </c>
      <c r="M2490" t="s">
        <v>68</v>
      </c>
      <c r="N2490" t="str">
        <f>"ALT"</f>
        <v>ALT</v>
      </c>
      <c r="O2490" t="s">
        <v>99</v>
      </c>
      <c r="P2490" t="s">
        <v>560</v>
      </c>
      <c r="Q2490">
        <v>2017</v>
      </c>
      <c r="R2490" s="4">
        <v>42787</v>
      </c>
      <c r="S2490" s="2">
        <v>42787</v>
      </c>
      <c r="T2490" s="2">
        <v>42787</v>
      </c>
      <c r="U2490" s="4">
        <v>42847</v>
      </c>
      <c r="V2490" t="s">
        <v>71</v>
      </c>
      <c r="W2490" t="str">
        <f>"                  33"</f>
        <v xml:space="preserve">                  33</v>
      </c>
      <c r="X2490">
        <v>0</v>
      </c>
      <c r="Y2490" s="1">
        <v>2125</v>
      </c>
      <c r="Z2490" s="5">
        <v>2125</v>
      </c>
      <c r="AA2490" s="3">
        <v>-54</v>
      </c>
      <c r="AB2490" s="5">
        <v>-114750</v>
      </c>
      <c r="AC2490" s="1">
        <v>2125</v>
      </c>
      <c r="AD2490">
        <v>-54</v>
      </c>
      <c r="AE2490" s="1">
        <v>-114750</v>
      </c>
      <c r="AF2490">
        <v>0</v>
      </c>
      <c r="AJ2490" s="1">
        <v>2125</v>
      </c>
      <c r="AK2490" s="1">
        <v>2125</v>
      </c>
      <c r="AL2490" s="1">
        <v>2125</v>
      </c>
      <c r="AM2490" s="1">
        <v>2125</v>
      </c>
      <c r="AN2490" s="1">
        <v>2125</v>
      </c>
      <c r="AO2490" s="1">
        <v>2125</v>
      </c>
      <c r="AP2490" s="2">
        <v>42831</v>
      </c>
      <c r="AQ2490" t="s">
        <v>72</v>
      </c>
      <c r="AR2490" t="s">
        <v>72</v>
      </c>
      <c r="AS2490">
        <v>586</v>
      </c>
      <c r="AT2490" s="4">
        <v>42793</v>
      </c>
      <c r="AV2490">
        <v>586</v>
      </c>
      <c r="AW2490" s="4">
        <v>42793</v>
      </c>
      <c r="BD2490">
        <v>0</v>
      </c>
      <c r="BN2490" t="s">
        <v>74</v>
      </c>
    </row>
    <row r="2491" spans="1:66">
      <c r="A2491">
        <v>106857</v>
      </c>
      <c r="B2491" t="s">
        <v>561</v>
      </c>
      <c r="C2491" s="1">
        <v>43500101</v>
      </c>
      <c r="D2491" t="s">
        <v>98</v>
      </c>
      <c r="H2491" t="str">
        <f>"RFOLGU57D18F839J"</f>
        <v>RFOLGU57D18F839J</v>
      </c>
      <c r="I2491" t="str">
        <f>""</f>
        <v/>
      </c>
      <c r="K2491" t="str">
        <f>""</f>
        <v/>
      </c>
      <c r="M2491" t="s">
        <v>68</v>
      </c>
      <c r="N2491" t="str">
        <f>"ALTPRO"</f>
        <v>ALTPRO</v>
      </c>
      <c r="O2491" t="s">
        <v>116</v>
      </c>
      <c r="P2491" t="s">
        <v>540</v>
      </c>
      <c r="Q2491">
        <v>2017</v>
      </c>
      <c r="R2491" s="4">
        <v>42809</v>
      </c>
      <c r="S2491" s="2">
        <v>42809</v>
      </c>
      <c r="T2491" s="2">
        <v>42809</v>
      </c>
      <c r="U2491" s="4">
        <v>42869</v>
      </c>
      <c r="V2491" t="s">
        <v>71</v>
      </c>
      <c r="W2491" t="str">
        <f>"                  45"</f>
        <v xml:space="preserve">                  45</v>
      </c>
      <c r="X2491">
        <v>0</v>
      </c>
      <c r="Y2491" s="1">
        <v>2483.6799999999998</v>
      </c>
      <c r="Z2491" s="5">
        <v>2483.6799999999998</v>
      </c>
      <c r="AA2491" s="3">
        <v>-60</v>
      </c>
      <c r="AB2491" s="5">
        <v>-149020.79999999999</v>
      </c>
      <c r="AC2491" s="1">
        <v>2483.6799999999998</v>
      </c>
      <c r="AD2491">
        <v>-60</v>
      </c>
      <c r="AE2491" s="1">
        <v>-149020.79999999999</v>
      </c>
      <c r="AF2491">
        <v>0</v>
      </c>
      <c r="AJ2491" s="1">
        <v>2483.6799999999998</v>
      </c>
      <c r="AK2491" s="1">
        <v>2483.6799999999998</v>
      </c>
      <c r="AL2491" s="1">
        <v>2483.6799999999998</v>
      </c>
      <c r="AM2491" s="1">
        <v>2483.6799999999998</v>
      </c>
      <c r="AN2491" s="1">
        <v>2483.6799999999998</v>
      </c>
      <c r="AO2491" s="1">
        <v>2483.6799999999998</v>
      </c>
      <c r="AP2491" s="2">
        <v>42831</v>
      </c>
      <c r="AQ2491" t="s">
        <v>72</v>
      </c>
      <c r="AR2491" t="s">
        <v>72</v>
      </c>
      <c r="AS2491">
        <v>758</v>
      </c>
      <c r="AT2491" s="4">
        <v>42809</v>
      </c>
      <c r="AV2491">
        <v>758</v>
      </c>
      <c r="AW2491" s="4">
        <v>42809</v>
      </c>
      <c r="BD2491">
        <v>0</v>
      </c>
      <c r="BN2491" t="s">
        <v>74</v>
      </c>
    </row>
    <row r="2492" spans="1:66" hidden="1">
      <c r="A2492">
        <v>106861</v>
      </c>
      <c r="B2492" t="s">
        <v>562</v>
      </c>
      <c r="C2492" s="1">
        <v>43300101</v>
      </c>
      <c r="D2492" t="s">
        <v>67</v>
      </c>
      <c r="H2492" t="str">
        <f>"04614020263"</f>
        <v>04614020263</v>
      </c>
      <c r="I2492" t="str">
        <f>"04614020263"</f>
        <v>04614020263</v>
      </c>
      <c r="K2492" t="str">
        <f>""</f>
        <v/>
      </c>
      <c r="M2492" t="s">
        <v>68</v>
      </c>
      <c r="N2492" t="str">
        <f>"FOR"</f>
        <v>FOR</v>
      </c>
      <c r="O2492" t="s">
        <v>69</v>
      </c>
      <c r="P2492" t="s">
        <v>84</v>
      </c>
      <c r="Q2492">
        <v>2017</v>
      </c>
      <c r="R2492" s="4">
        <v>42815</v>
      </c>
      <c r="S2492" s="2">
        <v>42815</v>
      </c>
      <c r="T2492" s="2">
        <v>42815</v>
      </c>
      <c r="U2492" s="4">
        <v>42875</v>
      </c>
      <c r="V2492" t="s">
        <v>71</v>
      </c>
      <c r="W2492" t="str">
        <f>"                0321"</f>
        <v xml:space="preserve">                0321</v>
      </c>
      <c r="X2492">
        <v>0</v>
      </c>
      <c r="Y2492">
        <v>233</v>
      </c>
      <c r="Z2492" s="3">
        <v>233</v>
      </c>
      <c r="AA2492" s="3">
        <v>-60</v>
      </c>
      <c r="AB2492" s="5">
        <v>-13980</v>
      </c>
      <c r="AC2492">
        <v>233</v>
      </c>
      <c r="AD2492">
        <v>-60</v>
      </c>
      <c r="AE2492" s="1">
        <v>-13980</v>
      </c>
      <c r="AF2492">
        <v>0</v>
      </c>
      <c r="AJ2492">
        <v>233</v>
      </c>
      <c r="AK2492">
        <v>233</v>
      </c>
      <c r="AL2492">
        <v>233</v>
      </c>
      <c r="AM2492">
        <v>233</v>
      </c>
      <c r="AN2492">
        <v>233</v>
      </c>
      <c r="AO2492">
        <v>233</v>
      </c>
      <c r="AP2492" s="2">
        <v>42831</v>
      </c>
      <c r="AQ2492" t="s">
        <v>72</v>
      </c>
      <c r="AR2492" t="s">
        <v>72</v>
      </c>
      <c r="AS2492">
        <v>868</v>
      </c>
      <c r="AT2492" s="4">
        <v>42815</v>
      </c>
      <c r="AV2492">
        <v>868</v>
      </c>
      <c r="AW2492" s="4">
        <v>42815</v>
      </c>
      <c r="BD2492">
        <v>0</v>
      </c>
      <c r="BN2492" t="s">
        <v>74</v>
      </c>
    </row>
    <row r="2493" spans="1:66">
      <c r="A2493">
        <v>101045</v>
      </c>
      <c r="B2493" t="s">
        <v>563</v>
      </c>
      <c r="C2493" s="1">
        <v>43500101</v>
      </c>
      <c r="D2493" t="s">
        <v>565</v>
      </c>
      <c r="H2493" s="6" t="s">
        <v>564</v>
      </c>
      <c r="I2493" s="6" t="s">
        <v>564</v>
      </c>
      <c r="Z2493" s="5">
        <v>3723204.46</v>
      </c>
      <c r="AA2493" s="3">
        <v>0</v>
      </c>
      <c r="AB2493" s="3">
        <v>0</v>
      </c>
    </row>
    <row r="2494" spans="1:66">
      <c r="Z2494" s="5">
        <f>SUBTOTAL(9,Z12:Z2493)</f>
        <v>12919967.250000011</v>
      </c>
      <c r="AB2494" s="5">
        <f>SUBTOTAL(9,AB12:AB2493)</f>
        <v>946808171.76000011</v>
      </c>
    </row>
    <row r="2496" spans="1:66">
      <c r="Z2496" s="7" t="s">
        <v>566</v>
      </c>
      <c r="AA2496" s="8" t="s">
        <v>567</v>
      </c>
      <c r="AB2496" s="5">
        <f>AB2494/Z2494</f>
        <v>73.282551994084912</v>
      </c>
    </row>
    <row r="2498" spans="26:28">
      <c r="Z2498" s="5"/>
      <c r="AB2498" s="5"/>
    </row>
  </sheetData>
  <autoFilter ref="A11:BN2493">
    <filterColumn colId="15">
      <filters blank="1">
        <filter val="110^rata II MUTUO"/>
        <filter val="111^RATA II MUTUO"/>
        <filter val="AOG RUMMO BENEVENTO"/>
        <filter val="BOLLO VIRTUALE"/>
        <filter val="CANONE POS"/>
        <filter val="CANONE POS 12/2016"/>
        <filter val="CANONE POS MESE 1"/>
        <filter val="COMM.NI CARICO ENTE"/>
        <filter val="COMM.NI OPER"/>
        <filter val="COMM.NI OPER."/>
        <filter val="COMM.NI OPER. CARTE"/>
        <filter val="COMM.NI OPER. VISA"/>
        <filter val="COMM.NI OPER.MAESTRO"/>
        <filter val="COMM.NI OPER.MASTER"/>
        <filter val="COMM.NI PAGOBANCOMAT"/>
        <filter val="COMM.NI POS 12/2016"/>
        <filter val="COMM.OPER. MAESTRO"/>
        <filter val="COMPENSO DOTTORE"/>
        <filter val="CONTR.UNIF E MARCA"/>
        <filter val="CONTRIBUTO"/>
        <filter val="CORSO LAUREA PROF.NI"/>
        <filter val="Fattura Ricevuta"/>
        <filter val="Fattura Ricevuta CEE"/>
        <filter val="Fattura Split Pay"/>
        <filter val="GIRO DA 102123201 A"/>
        <filter val="GIRO DA 30380/102123"/>
        <filter val="GIROCONTO"/>
        <filter val="II MUTUO 109^ RATA"/>
        <filter val="INTEGRAZIONE"/>
        <filter val="INTERESSI"/>
        <filter val="LIQUIDAZIONE LITE"/>
        <filter val="Nota accr.Ricevuta"/>
        <filter val="OPER.CARTE PAGO-"/>
        <filter val="OPER.MAESTRO 12/2016"/>
        <filter val="OPER.VISA 12/2016"/>
        <filter val="POLIZZA RAMO RCA"/>
        <filter val="POLIZZA RAMO RCT/O"/>
        <filter val="RAVVEDIMENTO OPEROSO"/>
        <filter val="Ric.Acconto/Anticipo"/>
        <filter val="Ric.Fattura"/>
        <filter val="Ric.Nota di Credito"/>
        <filter val="Ric.Parcella"/>
        <filter val="RIMBORSO SPESE"/>
        <filter val="SERVIZIO ASSISTENZA"/>
        <filter val="SX 06/2015"/>
        <filter val="SX 16/2015"/>
        <filter val="SX 22/2015"/>
        <filter val="SX 65/2015"/>
      </filters>
    </filterColumn>
  </autoFilter>
  <mergeCells count="1">
    <mergeCell ref="R3:AB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520E11E8-81BB-4841-6A8A-76509EB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Enzo</cp:lastModifiedBy>
  <dcterms:created xsi:type="dcterms:W3CDTF">2017-04-11T08:19:40Z</dcterms:created>
  <dcterms:modified xsi:type="dcterms:W3CDTF">2017-04-11T09:47:47Z</dcterms:modified>
</cp:coreProperties>
</file>